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d.docs.live.net/a5ea353085312436/Public/IEC2025/"/>
    </mc:Choice>
  </mc:AlternateContent>
  <xr:revisionPtr revIDLastSave="21" documentId="8_{2B1ED735-393C-49C7-8041-88375635BCC6}" xr6:coauthVersionLast="47" xr6:coauthVersionMax="47" xr10:uidLastSave="{755A62C9-353B-41F2-A41E-0C7C7D0540CD}"/>
  <bookViews>
    <workbookView xWindow="-108" yWindow="-108" windowWidth="23256" windowHeight="13896" tabRatio="919" xr2:uid="{00000000-000D-0000-FFFF-FFFF00000000}"/>
  </bookViews>
  <sheets>
    <sheet name="README" sheetId="57" r:id="rId1"/>
    <sheet name="Overall" sheetId="19" r:id="rId2"/>
    <sheet name="Investments" sheetId="24" r:id="rId3"/>
    <sheet name="Expenses" sheetId="54" r:id="rId4"/>
    <sheet name="SpendingRoadMap" sheetId="53" r:id="rId5"/>
    <sheet name="Charts" sheetId="56" r:id="rId6"/>
    <sheet name="Income" sheetId="55" r:id="rId7"/>
  </sheets>
  <definedNames>
    <definedName name="_xlnm._FilterDatabase" localSheetId="2">Investments!$A$1:$E$69</definedName>
    <definedName name="_xlcn.LinkedTable_Table11" hidden="1">Table1</definedName>
  </definedNames>
  <calcPr calcId="191029"/>
  <extLst>
    <ext xmlns:x15="http://schemas.microsoft.com/office/spreadsheetml/2010/11/main" uri="{FCE2AD5D-F65C-4FA6-A056-5C36A1767C68}">
      <x15:dataModel>
        <x15:modelTables>
          <x15:modelTable id="Table1-9f93c2b9-47cd-46f5-9bf4-c2afa241914c" name="Table1" connection="LinkedTable_Table1"/>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5" i="19" l="1"/>
  <c r="B67" i="54"/>
  <c r="F50" i="54"/>
  <c r="E50" i="54"/>
  <c r="F44" i="54"/>
  <c r="E44" i="54"/>
  <c r="F43" i="54"/>
  <c r="E43" i="54"/>
  <c r="F42" i="54"/>
  <c r="B25" i="19"/>
  <c r="D1" i="19"/>
  <c r="E49" i="19"/>
  <c r="B50" i="19"/>
  <c r="D59" i="19" s="1"/>
  <c r="D28" i="19"/>
  <c r="D61" i="19" l="1"/>
  <c r="D52" i="19"/>
  <c r="D53" i="19"/>
  <c r="D54" i="19"/>
  <c r="B66" i="54" s="1"/>
  <c r="D66" i="54" s="1"/>
  <c r="B17" i="19"/>
  <c r="G14" i="55"/>
  <c r="G15" i="55"/>
  <c r="G12" i="55"/>
  <c r="G11" i="55"/>
  <c r="G13" i="55"/>
  <c r="G10" i="55"/>
  <c r="G9" i="55"/>
  <c r="G4" i="55"/>
  <c r="G5" i="55"/>
  <c r="G6" i="55"/>
  <c r="G7" i="55"/>
  <c r="G8" i="55"/>
  <c r="G3" i="55"/>
  <c r="G33" i="54"/>
  <c r="G63" i="54"/>
  <c r="G64" i="54"/>
  <c r="G65" i="54"/>
  <c r="G66" i="54"/>
  <c r="G67" i="54"/>
  <c r="G62" i="54"/>
  <c r="G51" i="54"/>
  <c r="G52" i="54"/>
  <c r="G53" i="54"/>
  <c r="G54" i="54"/>
  <c r="G55" i="54"/>
  <c r="G56" i="54"/>
  <c r="G50" i="54"/>
  <c r="G43" i="54"/>
  <c r="G44" i="54"/>
  <c r="G45" i="54"/>
  <c r="G46" i="54"/>
  <c r="G47" i="54"/>
  <c r="G42" i="54"/>
  <c r="G39" i="54"/>
  <c r="D39" i="54"/>
  <c r="G38" i="54"/>
  <c r="D38" i="54"/>
  <c r="G37" i="54"/>
  <c r="D37" i="54"/>
  <c r="G36" i="54"/>
  <c r="D36" i="54"/>
  <c r="G35" i="54"/>
  <c r="D35" i="54"/>
  <c r="G34" i="54"/>
  <c r="D34" i="54"/>
  <c r="D33" i="54"/>
  <c r="G6" i="54"/>
  <c r="G7" i="54"/>
  <c r="G8" i="54"/>
  <c r="G9" i="54"/>
  <c r="G10" i="54"/>
  <c r="G11" i="54"/>
  <c r="G12" i="54"/>
  <c r="G13" i="54"/>
  <c r="G14" i="54"/>
  <c r="G15" i="54"/>
  <c r="G16" i="54"/>
  <c r="G17" i="54"/>
  <c r="G18" i="54"/>
  <c r="G19" i="54"/>
  <c r="G20" i="54"/>
  <c r="G21" i="54"/>
  <c r="G22" i="54"/>
  <c r="G23" i="54"/>
  <c r="G24" i="54"/>
  <c r="G25" i="54"/>
  <c r="G26" i="54"/>
  <c r="G27" i="54"/>
  <c r="G28" i="54"/>
  <c r="G29" i="54"/>
  <c r="G30" i="54"/>
  <c r="G5" i="54"/>
  <c r="E67" i="54"/>
  <c r="F67" i="54" s="1"/>
  <c r="E66" i="54"/>
  <c r="F66" i="54" s="1"/>
  <c r="D67" i="54"/>
  <c r="A67" i="54"/>
  <c r="A66" i="54"/>
  <c r="B89" i="19"/>
  <c r="D6" i="54"/>
  <c r="D7" i="54"/>
  <c r="D8" i="54"/>
  <c r="D9" i="54"/>
  <c r="D10" i="54"/>
  <c r="D11" i="54"/>
  <c r="D12" i="54"/>
  <c r="D13" i="54"/>
  <c r="D14" i="54"/>
  <c r="D15" i="54"/>
  <c r="D16" i="54"/>
  <c r="D17" i="54"/>
  <c r="D18" i="54"/>
  <c r="D19" i="54"/>
  <c r="D20" i="54"/>
  <c r="D21" i="54"/>
  <c r="D22" i="54"/>
  <c r="D23" i="54"/>
  <c r="D24" i="54"/>
  <c r="D25" i="54"/>
  <c r="D26" i="54"/>
  <c r="D27" i="54"/>
  <c r="D28" i="54"/>
  <c r="D29" i="54"/>
  <c r="D30" i="54"/>
  <c r="D42" i="54"/>
  <c r="D43" i="54"/>
  <c r="D44" i="54"/>
  <c r="D45" i="54"/>
  <c r="D46" i="54"/>
  <c r="D47" i="54"/>
  <c r="D50" i="54"/>
  <c r="D51" i="54"/>
  <c r="D52" i="54"/>
  <c r="D53" i="54"/>
  <c r="D54" i="54"/>
  <c r="D55" i="54"/>
  <c r="D56" i="54"/>
  <c r="D5" i="54"/>
  <c r="B21" i="19"/>
  <c r="F15" i="55" s="1"/>
  <c r="B19" i="19"/>
  <c r="F14" i="55" s="1"/>
  <c r="F13" i="55"/>
  <c r="B15" i="55"/>
  <c r="D15" i="55" s="1"/>
  <c r="B14" i="55"/>
  <c r="D14" i="55" s="1"/>
  <c r="B13" i="55"/>
  <c r="D13" i="55" s="1"/>
  <c r="A15" i="55"/>
  <c r="A14" i="55"/>
  <c r="A13" i="55"/>
  <c r="D43" i="19"/>
  <c r="D44" i="19"/>
  <c r="D45" i="19" l="1"/>
  <c r="A10" i="55"/>
  <c r="A9" i="55"/>
  <c r="A8" i="55"/>
  <c r="A7" i="55"/>
  <c r="A3" i="55"/>
  <c r="A4" i="55"/>
  <c r="K51" i="53"/>
  <c r="K52" i="53"/>
  <c r="K53" i="53"/>
  <c r="K54" i="53"/>
  <c r="K55" i="53"/>
  <c r="K56" i="53"/>
  <c r="K57" i="53"/>
  <c r="K58" i="53"/>
  <c r="K59" i="53"/>
  <c r="K60" i="53"/>
  <c r="K61" i="53"/>
  <c r="K62" i="53"/>
  <c r="K63" i="53"/>
  <c r="K64" i="53"/>
  <c r="K65" i="53"/>
  <c r="K66" i="53"/>
  <c r="K67" i="53"/>
  <c r="K68" i="53"/>
  <c r="K69" i="53"/>
  <c r="K70" i="53"/>
  <c r="K71" i="53"/>
  <c r="K72" i="53"/>
  <c r="K73" i="53"/>
  <c r="K74" i="53"/>
  <c r="K75" i="53"/>
  <c r="K76" i="53"/>
  <c r="K77" i="53"/>
  <c r="K78" i="53"/>
  <c r="K79" i="53"/>
  <c r="K80" i="53"/>
  <c r="K81" i="53"/>
  <c r="K82" i="53"/>
  <c r="K83" i="53"/>
  <c r="K84" i="53"/>
  <c r="K85" i="53"/>
  <c r="K86" i="53"/>
  <c r="K87" i="53"/>
  <c r="K88" i="53"/>
  <c r="K89" i="53"/>
  <c r="K90" i="53"/>
  <c r="K91" i="53"/>
  <c r="K92" i="53"/>
  <c r="K93" i="53"/>
  <c r="K94" i="53"/>
  <c r="K95" i="53"/>
  <c r="K96" i="53"/>
  <c r="K97" i="53"/>
  <c r="K98" i="53"/>
  <c r="K99" i="53"/>
  <c r="K100" i="53"/>
  <c r="B7" i="55"/>
  <c r="D7" i="55" s="1"/>
  <c r="B6" i="55"/>
  <c r="D6" i="55" s="1"/>
  <c r="B3" i="55"/>
  <c r="D3" i="55" s="1"/>
  <c r="B64" i="54"/>
  <c r="D64" i="54" s="1"/>
  <c r="A64" i="54"/>
  <c r="A65" i="54"/>
  <c r="A63" i="54"/>
  <c r="A62" i="54"/>
  <c r="B62" i="54"/>
  <c r="D62" i="54" s="1"/>
  <c r="B86" i="19"/>
  <c r="B5" i="55"/>
  <c r="D5" i="55" s="1"/>
  <c r="B9" i="55"/>
  <c r="D9" i="55" s="1"/>
  <c r="A12" i="55"/>
  <c r="A11" i="55"/>
  <c r="A6" i="55"/>
  <c r="A5" i="55"/>
  <c r="B84" i="19"/>
  <c r="E9" i="55" s="1"/>
  <c r="O51" i="53" l="1"/>
  <c r="O59" i="53"/>
  <c r="O67" i="53"/>
  <c r="O75" i="53"/>
  <c r="O83" i="53"/>
  <c r="O91" i="53"/>
  <c r="O99" i="53"/>
  <c r="P93" i="53"/>
  <c r="P78" i="53"/>
  <c r="O63" i="53"/>
  <c r="O96" i="53"/>
  <c r="O89" i="53"/>
  <c r="O98" i="53"/>
  <c r="P66" i="53"/>
  <c r="P51" i="53"/>
  <c r="P59" i="53"/>
  <c r="P67" i="53"/>
  <c r="P75" i="53"/>
  <c r="P83" i="53"/>
  <c r="P91" i="53"/>
  <c r="P99" i="53"/>
  <c r="O94" i="53"/>
  <c r="P62" i="53"/>
  <c r="O95" i="53"/>
  <c r="P63" i="53"/>
  <c r="O66" i="53"/>
  <c r="P98" i="53"/>
  <c r="O52" i="53"/>
  <c r="O60" i="53"/>
  <c r="O68" i="53"/>
  <c r="O76" i="53"/>
  <c r="O84" i="53"/>
  <c r="O92" i="53"/>
  <c r="O100" i="53"/>
  <c r="P85" i="53"/>
  <c r="O79" i="53"/>
  <c r="P95" i="53"/>
  <c r="O88" i="53"/>
  <c r="P64" i="53"/>
  <c r="O81" i="53"/>
  <c r="O58" i="53"/>
  <c r="P82" i="53"/>
  <c r="P52" i="53"/>
  <c r="P60" i="53"/>
  <c r="P68" i="53"/>
  <c r="P76" i="53"/>
  <c r="P84" i="53"/>
  <c r="P92" i="53"/>
  <c r="P100" i="53"/>
  <c r="P77" i="53"/>
  <c r="O54" i="53"/>
  <c r="O62" i="53"/>
  <c r="O86" i="53"/>
  <c r="P70" i="53"/>
  <c r="P55" i="53"/>
  <c r="P87" i="53"/>
  <c r="O72" i="53"/>
  <c r="P72" i="53"/>
  <c r="P65" i="53"/>
  <c r="O90" i="53"/>
  <c r="P58" i="53"/>
  <c r="O53" i="53"/>
  <c r="O61" i="53"/>
  <c r="O69" i="53"/>
  <c r="O77" i="53"/>
  <c r="O85" i="53"/>
  <c r="O93" i="53"/>
  <c r="O78" i="53"/>
  <c r="P86" i="53"/>
  <c r="O55" i="53"/>
  <c r="O87" i="53"/>
  <c r="P79" i="53"/>
  <c r="P96" i="53"/>
  <c r="O65" i="53"/>
  <c r="P97" i="53"/>
  <c r="P53" i="53"/>
  <c r="P61" i="53"/>
  <c r="P69" i="53"/>
  <c r="O70" i="53"/>
  <c r="P94" i="53"/>
  <c r="O71" i="53"/>
  <c r="P71" i="53"/>
  <c r="O64" i="53"/>
  <c r="P80" i="53"/>
  <c r="O97" i="53"/>
  <c r="P57" i="53"/>
  <c r="O57" i="53"/>
  <c r="P81" i="53"/>
  <c r="P54" i="53"/>
  <c r="O80" i="53"/>
  <c r="P56" i="53"/>
  <c r="P88" i="53"/>
  <c r="O73" i="53"/>
  <c r="P89" i="53"/>
  <c r="P90" i="53"/>
  <c r="O74" i="53"/>
  <c r="O56" i="53"/>
  <c r="P73" i="53"/>
  <c r="O82" i="53"/>
  <c r="P74" i="53"/>
  <c r="E62" i="54"/>
  <c r="F64" i="54"/>
  <c r="A88" i="53"/>
  <c r="A56" i="53"/>
  <c r="A86" i="53"/>
  <c r="A52" i="53"/>
  <c r="A98" i="53"/>
  <c r="A97" i="53"/>
  <c r="A81" i="53"/>
  <c r="A65" i="53"/>
  <c r="A57" i="53"/>
  <c r="A64" i="53"/>
  <c r="A70" i="53"/>
  <c r="A66" i="53"/>
  <c r="A95" i="53"/>
  <c r="A79" i="53"/>
  <c r="A63" i="53"/>
  <c r="A73" i="53"/>
  <c r="A69" i="53"/>
  <c r="A84" i="53"/>
  <c r="A83" i="53"/>
  <c r="A96" i="53"/>
  <c r="A94" i="53"/>
  <c r="A78" i="53"/>
  <c r="A62" i="53"/>
  <c r="A71" i="53"/>
  <c r="A51" i="53"/>
  <c r="A93" i="53"/>
  <c r="A77" i="53"/>
  <c r="A61" i="53"/>
  <c r="A89" i="53"/>
  <c r="A87" i="53"/>
  <c r="A53" i="53"/>
  <c r="A67" i="53"/>
  <c r="A92" i="53"/>
  <c r="A76" i="53"/>
  <c r="A60" i="53"/>
  <c r="A72" i="53"/>
  <c r="A54" i="53"/>
  <c r="A68" i="53"/>
  <c r="A82" i="53"/>
  <c r="A91" i="53"/>
  <c r="A75" i="53"/>
  <c r="A59" i="53"/>
  <c r="A55" i="53"/>
  <c r="A85" i="53"/>
  <c r="A100" i="53"/>
  <c r="A99" i="53"/>
  <c r="A80" i="53"/>
  <c r="A90" i="53"/>
  <c r="A74" i="53"/>
  <c r="A58" i="53"/>
  <c r="B65" i="54"/>
  <c r="D65" i="54" s="1"/>
  <c r="D10" i="19"/>
  <c r="B4" i="55" s="1"/>
  <c r="D4" i="55" s="1"/>
  <c r="D29" i="19"/>
  <c r="B8" i="55" s="1"/>
  <c r="D8" i="55" s="1"/>
  <c r="D30" i="19"/>
  <c r="D31" i="19"/>
  <c r="B10" i="55" s="1"/>
  <c r="D10" i="55" s="1"/>
  <c r="D25" i="19"/>
  <c r="D11" i="19"/>
  <c r="D32" i="19"/>
  <c r="D7" i="19"/>
  <c r="D24" i="19"/>
  <c r="B63" i="54"/>
  <c r="D63" i="54" s="1"/>
  <c r="D42" i="19"/>
  <c r="K2" i="53"/>
  <c r="C2" i="53" s="1"/>
  <c r="B79" i="19" l="1"/>
  <c r="O2" i="53"/>
  <c r="P2" i="53"/>
  <c r="B56" i="53"/>
  <c r="B52" i="53"/>
  <c r="L94" i="53"/>
  <c r="B51" i="53"/>
  <c r="B98" i="53"/>
  <c r="A2" i="53"/>
  <c r="B72" i="53"/>
  <c r="B60" i="53"/>
  <c r="B84" i="53"/>
  <c r="B75" i="53"/>
  <c r="B76" i="53"/>
  <c r="B59" i="53"/>
  <c r="B58" i="53"/>
  <c r="B55" i="53"/>
  <c r="B83" i="53"/>
  <c r="B65" i="53"/>
  <c r="B80" i="53"/>
  <c r="B82" i="53"/>
  <c r="B53" i="53"/>
  <c r="B62" i="53"/>
  <c r="B63" i="53"/>
  <c r="B81" i="53"/>
  <c r="B73" i="53"/>
  <c r="B78" i="53"/>
  <c r="B97" i="53"/>
  <c r="B91" i="53"/>
  <c r="B100" i="53"/>
  <c r="B54" i="53"/>
  <c r="B89" i="53"/>
  <c r="B94" i="53"/>
  <c r="B95" i="53"/>
  <c r="B90" i="53"/>
  <c r="B67" i="53"/>
  <c r="B87" i="53"/>
  <c r="B99" i="53"/>
  <c r="B85" i="53"/>
  <c r="B96" i="53"/>
  <c r="B61" i="53"/>
  <c r="B66" i="53"/>
  <c r="B79" i="53"/>
  <c r="B70" i="53"/>
  <c r="B86" i="53"/>
  <c r="B71" i="53"/>
  <c r="B77" i="53"/>
  <c r="B64" i="53"/>
  <c r="B93" i="53"/>
  <c r="B68" i="53"/>
  <c r="B74" i="53"/>
  <c r="B92" i="53"/>
  <c r="B69" i="53"/>
  <c r="B57" i="53"/>
  <c r="B88" i="53"/>
  <c r="L59" i="53"/>
  <c r="L85" i="53"/>
  <c r="L68" i="53"/>
  <c r="L71" i="53"/>
  <c r="L80" i="53"/>
  <c r="L58" i="53"/>
  <c r="L81" i="53"/>
  <c r="L88" i="53"/>
  <c r="L91" i="53"/>
  <c r="L60" i="53"/>
  <c r="L96" i="53"/>
  <c r="L55" i="53"/>
  <c r="L79" i="53"/>
  <c r="L100" i="53"/>
  <c r="L78" i="53"/>
  <c r="L51" i="53"/>
  <c r="L82" i="53"/>
  <c r="L69" i="53"/>
  <c r="L95" i="53"/>
  <c r="L92" i="53"/>
  <c r="L56" i="53"/>
  <c r="L97" i="53"/>
  <c r="L53" i="53"/>
  <c r="L54" i="53"/>
  <c r="L76" i="53"/>
  <c r="L63" i="53"/>
  <c r="L57" i="53"/>
  <c r="L90" i="53"/>
  <c r="L72" i="53"/>
  <c r="L89" i="53"/>
  <c r="L77" i="53"/>
  <c r="L99" i="53"/>
  <c r="B87" i="19"/>
  <c r="B85" i="19"/>
  <c r="E10" i="55" s="1"/>
  <c r="L98" i="53"/>
  <c r="L86" i="53"/>
  <c r="L74" i="53"/>
  <c r="L83" i="53"/>
  <c r="L52" i="53"/>
  <c r="L64" i="53"/>
  <c r="L62" i="53"/>
  <c r="L66" i="53"/>
  <c r="L70" i="53"/>
  <c r="L84" i="53"/>
  <c r="L75" i="53"/>
  <c r="L67" i="53"/>
  <c r="L87" i="53"/>
  <c r="L65" i="53"/>
  <c r="L61" i="53"/>
  <c r="L73" i="53"/>
  <c r="L93" i="53"/>
  <c r="K3" i="53"/>
  <c r="K4" i="53"/>
  <c r="K5" i="53"/>
  <c r="K6" i="53"/>
  <c r="K7" i="53"/>
  <c r="K8" i="53"/>
  <c r="K9" i="53"/>
  <c r="K10" i="53"/>
  <c r="K11" i="53"/>
  <c r="K12" i="53"/>
  <c r="K13" i="53"/>
  <c r="K14" i="53"/>
  <c r="K15" i="53"/>
  <c r="K16" i="53"/>
  <c r="K17" i="53"/>
  <c r="K18" i="53"/>
  <c r="K19" i="53"/>
  <c r="K20" i="53"/>
  <c r="K21" i="53"/>
  <c r="K22" i="53"/>
  <c r="K23" i="53"/>
  <c r="K24" i="53"/>
  <c r="K25" i="53"/>
  <c r="K26" i="53"/>
  <c r="K27" i="53"/>
  <c r="K28" i="53"/>
  <c r="K29" i="53"/>
  <c r="K30" i="53"/>
  <c r="K31" i="53"/>
  <c r="K32" i="53"/>
  <c r="K33" i="53"/>
  <c r="K34" i="53"/>
  <c r="K35" i="53"/>
  <c r="K36" i="53"/>
  <c r="K37" i="53"/>
  <c r="K38" i="53"/>
  <c r="K39" i="53"/>
  <c r="K40" i="53"/>
  <c r="K41" i="53"/>
  <c r="K42" i="53"/>
  <c r="K43" i="53"/>
  <c r="K44" i="53"/>
  <c r="K45" i="53"/>
  <c r="K46" i="53"/>
  <c r="K47" i="53"/>
  <c r="K48" i="53"/>
  <c r="K49" i="53"/>
  <c r="K50" i="53"/>
  <c r="B77" i="19"/>
  <c r="E12" i="55" s="1"/>
  <c r="B76" i="19"/>
  <c r="E11" i="55" s="1"/>
  <c r="B73" i="19"/>
  <c r="B72" i="19"/>
  <c r="B81" i="19" l="1"/>
  <c r="F45" i="54"/>
  <c r="E64" i="54"/>
  <c r="B80" i="19"/>
  <c r="E63" i="54"/>
  <c r="F65" i="54"/>
  <c r="B83" i="19"/>
  <c r="F8" i="55" s="1"/>
  <c r="E8" i="55"/>
  <c r="E65" i="54"/>
  <c r="F38" i="54"/>
  <c r="P26" i="53"/>
  <c r="O26" i="53"/>
  <c r="O25" i="53"/>
  <c r="P25" i="53"/>
  <c r="O23" i="53"/>
  <c r="P23" i="53"/>
  <c r="P37" i="53"/>
  <c r="O37" i="53"/>
  <c r="P12" i="53"/>
  <c r="O12" i="53"/>
  <c r="P43" i="53"/>
  <c r="O43" i="53"/>
  <c r="O11" i="53"/>
  <c r="P11" i="53"/>
  <c r="P4" i="53"/>
  <c r="O4" i="53"/>
  <c r="P35" i="53"/>
  <c r="O35" i="53"/>
  <c r="P19" i="53"/>
  <c r="O19" i="53"/>
  <c r="O3" i="53"/>
  <c r="P3" i="53"/>
  <c r="P28" i="53"/>
  <c r="O28" i="53"/>
  <c r="O27" i="53"/>
  <c r="P27" i="53"/>
  <c r="O42" i="53"/>
  <c r="P42" i="53"/>
  <c r="P10" i="53"/>
  <c r="O10" i="53"/>
  <c r="P41" i="53"/>
  <c r="O41" i="53"/>
  <c r="O40" i="53"/>
  <c r="P40" i="53"/>
  <c r="P7" i="53"/>
  <c r="O7" i="53"/>
  <c r="P22" i="53"/>
  <c r="O22" i="53"/>
  <c r="O5" i="53"/>
  <c r="P5" i="53"/>
  <c r="P36" i="53"/>
  <c r="O36" i="53"/>
  <c r="P50" i="53"/>
  <c r="O50" i="53"/>
  <c r="P44" i="53"/>
  <c r="O44" i="53"/>
  <c r="O8" i="53"/>
  <c r="P8" i="53"/>
  <c r="P39" i="53"/>
  <c r="O39" i="53"/>
  <c r="O49" i="53"/>
  <c r="P49" i="53"/>
  <c r="P33" i="53"/>
  <c r="O33" i="53"/>
  <c r="O17" i="53"/>
  <c r="P17" i="53"/>
  <c r="P48" i="53"/>
  <c r="O48" i="53"/>
  <c r="P32" i="53"/>
  <c r="O32" i="53"/>
  <c r="O16" i="53"/>
  <c r="P16" i="53"/>
  <c r="P38" i="53"/>
  <c r="O38" i="53"/>
  <c r="P20" i="53"/>
  <c r="O20" i="53"/>
  <c r="P6" i="53"/>
  <c r="O6" i="53"/>
  <c r="P21" i="53"/>
  <c r="O21" i="53"/>
  <c r="P34" i="53"/>
  <c r="O34" i="53"/>
  <c r="O47" i="53"/>
  <c r="P47" i="53"/>
  <c r="O46" i="53"/>
  <c r="P46" i="53"/>
  <c r="O30" i="53"/>
  <c r="P30" i="53"/>
  <c r="O14" i="53"/>
  <c r="P14" i="53"/>
  <c r="P9" i="53"/>
  <c r="O9" i="53"/>
  <c r="P24" i="53"/>
  <c r="O24" i="53"/>
  <c r="P18" i="53"/>
  <c r="O18" i="53"/>
  <c r="O31" i="53"/>
  <c r="P31" i="53"/>
  <c r="P15" i="53"/>
  <c r="O15" i="53"/>
  <c r="P45" i="53"/>
  <c r="O45" i="53"/>
  <c r="P29" i="53"/>
  <c r="O29" i="53"/>
  <c r="O13" i="53"/>
  <c r="P13" i="53"/>
  <c r="B2" i="53"/>
  <c r="M2" i="53" s="1"/>
  <c r="N2" i="53" s="1"/>
  <c r="M74" i="53"/>
  <c r="N74" i="53" s="1"/>
  <c r="M66" i="53"/>
  <c r="N66" i="53" s="1"/>
  <c r="M81" i="53"/>
  <c r="N81" i="53" s="1"/>
  <c r="M59" i="53"/>
  <c r="N59" i="53" s="1"/>
  <c r="M79" i="53"/>
  <c r="N79" i="53" s="1"/>
  <c r="M60" i="53"/>
  <c r="N60" i="53" s="1"/>
  <c r="M83" i="53"/>
  <c r="N83" i="53" s="1"/>
  <c r="M55" i="53"/>
  <c r="N55" i="53" s="1"/>
  <c r="M94" i="53"/>
  <c r="N94" i="53" s="1"/>
  <c r="M75" i="53"/>
  <c r="N75" i="53" s="1"/>
  <c r="M77" i="53"/>
  <c r="N77" i="53" s="1"/>
  <c r="M54" i="53"/>
  <c r="N54" i="53" s="1"/>
  <c r="M72" i="53"/>
  <c r="N72" i="53" s="1"/>
  <c r="M85" i="53"/>
  <c r="N85" i="53" s="1"/>
  <c r="M53" i="53"/>
  <c r="N53" i="53" s="1"/>
  <c r="M73" i="53"/>
  <c r="N73" i="53" s="1"/>
  <c r="M61" i="53"/>
  <c r="N61" i="53" s="1"/>
  <c r="M64" i="53"/>
  <c r="N64" i="53" s="1"/>
  <c r="M96" i="53"/>
  <c r="N96" i="53" s="1"/>
  <c r="M99" i="53"/>
  <c r="N99" i="53" s="1"/>
  <c r="M100" i="53"/>
  <c r="N100" i="53" s="1"/>
  <c r="M58" i="53"/>
  <c r="N58" i="53" s="1"/>
  <c r="M91" i="53"/>
  <c r="N91" i="53" s="1"/>
  <c r="M82" i="53"/>
  <c r="N82" i="53" s="1"/>
  <c r="M98" i="53"/>
  <c r="N98" i="53" s="1"/>
  <c r="M92" i="53"/>
  <c r="N92" i="53" s="1"/>
  <c r="M63" i="53"/>
  <c r="N63" i="53" s="1"/>
  <c r="M89" i="53"/>
  <c r="N89" i="53" s="1"/>
  <c r="M71" i="53"/>
  <c r="N71" i="53" s="1"/>
  <c r="M87" i="53"/>
  <c r="N87" i="53" s="1"/>
  <c r="M51" i="53"/>
  <c r="N51" i="53" s="1"/>
  <c r="M70" i="53"/>
  <c r="N70" i="53" s="1"/>
  <c r="M68" i="53"/>
  <c r="N68" i="53" s="1"/>
  <c r="M88" i="53"/>
  <c r="N88" i="53" s="1"/>
  <c r="M57" i="53"/>
  <c r="N57" i="53" s="1"/>
  <c r="M97" i="53"/>
  <c r="N97" i="53" s="1"/>
  <c r="M80" i="53"/>
  <c r="N80" i="53" s="1"/>
  <c r="M90" i="53"/>
  <c r="N90" i="53" s="1"/>
  <c r="M93" i="53"/>
  <c r="N93" i="53" s="1"/>
  <c r="M86" i="53"/>
  <c r="N86" i="53" s="1"/>
  <c r="M67" i="53"/>
  <c r="N67" i="53" s="1"/>
  <c r="M52" i="53"/>
  <c r="N52" i="53" s="1"/>
  <c r="M95" i="53"/>
  <c r="N95" i="53" s="1"/>
  <c r="M76" i="53"/>
  <c r="N76" i="53" s="1"/>
  <c r="M84" i="53"/>
  <c r="N84" i="53" s="1"/>
  <c r="M62" i="53"/>
  <c r="N62" i="53" s="1"/>
  <c r="M69" i="53"/>
  <c r="N69" i="53" s="1"/>
  <c r="M78" i="53"/>
  <c r="N78" i="53" s="1"/>
  <c r="M65" i="53"/>
  <c r="N65" i="53" s="1"/>
  <c r="M56" i="53"/>
  <c r="N56" i="53" s="1"/>
  <c r="A42" i="53"/>
  <c r="A9" i="53"/>
  <c r="A24" i="53"/>
  <c r="A19" i="53"/>
  <c r="A25" i="53"/>
  <c r="A21" i="53"/>
  <c r="A20" i="53"/>
  <c r="A35" i="53"/>
  <c r="A18" i="53"/>
  <c r="A40" i="53"/>
  <c r="A7" i="53"/>
  <c r="A37" i="53"/>
  <c r="A38" i="53"/>
  <c r="A43" i="53"/>
  <c r="A26" i="53"/>
  <c r="A23" i="53"/>
  <c r="A22" i="53"/>
  <c r="A5" i="53"/>
  <c r="A32" i="53"/>
  <c r="A31" i="53"/>
  <c r="A15" i="53"/>
  <c r="A4" i="53"/>
  <c r="A34" i="53"/>
  <c r="A17" i="53"/>
  <c r="A30" i="53"/>
  <c r="A14" i="53"/>
  <c r="A27" i="53"/>
  <c r="A10" i="53"/>
  <c r="A41" i="53"/>
  <c r="A39" i="53"/>
  <c r="A6" i="53"/>
  <c r="A36" i="53"/>
  <c r="A50" i="53"/>
  <c r="A49" i="53"/>
  <c r="A45" i="53"/>
  <c r="A13" i="53"/>
  <c r="A11" i="53"/>
  <c r="A8" i="53"/>
  <c r="A33" i="53"/>
  <c r="A48" i="53"/>
  <c r="A16" i="53"/>
  <c r="A47" i="53"/>
  <c r="A46" i="53"/>
  <c r="A29" i="53"/>
  <c r="A44" i="53"/>
  <c r="A28" i="53"/>
  <c r="A12" i="53"/>
  <c r="E53" i="54"/>
  <c r="F53" i="54" s="1"/>
  <c r="B97" i="19"/>
  <c r="B78" i="19"/>
  <c r="B11" i="55" s="1"/>
  <c r="D11" i="55" s="1"/>
  <c r="B12" i="55"/>
  <c r="D12" i="55" s="1"/>
  <c r="F46" i="54"/>
  <c r="E56" i="54"/>
  <c r="E54" i="54"/>
  <c r="E55" i="54"/>
  <c r="F55" i="54" s="1"/>
  <c r="F4" i="55"/>
  <c r="F3" i="55"/>
  <c r="B75" i="19"/>
  <c r="E51" i="54"/>
  <c r="E52" i="54"/>
  <c r="A3" i="53"/>
  <c r="B74" i="19"/>
  <c r="R2" i="53" l="1"/>
  <c r="E7" i="55"/>
  <c r="B82" i="19"/>
  <c r="F7" i="55" s="1"/>
  <c r="T45" i="53" s="1"/>
  <c r="T31" i="53"/>
  <c r="T34" i="53"/>
  <c r="S7" i="53"/>
  <c r="T6" i="53"/>
  <c r="T24" i="53"/>
  <c r="S24" i="53"/>
  <c r="T49" i="53"/>
  <c r="S6" i="53"/>
  <c r="T15" i="53"/>
  <c r="S31" i="53"/>
  <c r="D31" i="53" s="1"/>
  <c r="S5" i="53"/>
  <c r="T37" i="53"/>
  <c r="S17" i="53"/>
  <c r="T28" i="53"/>
  <c r="S19" i="53"/>
  <c r="T25" i="53"/>
  <c r="T7" i="53"/>
  <c r="S9" i="53"/>
  <c r="S20" i="53"/>
  <c r="T9" i="53"/>
  <c r="T20" i="53"/>
  <c r="T13" i="53"/>
  <c r="S13" i="53"/>
  <c r="S14" i="53"/>
  <c r="S22" i="53"/>
  <c r="T22" i="53"/>
  <c r="S23" i="53"/>
  <c r="S49" i="53"/>
  <c r="T19" i="53"/>
  <c r="S25" i="53"/>
  <c r="S39" i="53"/>
  <c r="T40" i="53"/>
  <c r="S35" i="53"/>
  <c r="S26" i="53"/>
  <c r="T39" i="53"/>
  <c r="S40" i="53"/>
  <c r="T35" i="53"/>
  <c r="T26" i="53"/>
  <c r="S38" i="53"/>
  <c r="S41" i="53"/>
  <c r="S4" i="53"/>
  <c r="Q2" i="53"/>
  <c r="T38" i="53"/>
  <c r="S8" i="53"/>
  <c r="T41" i="53"/>
  <c r="T4" i="53"/>
  <c r="S84" i="53"/>
  <c r="T52" i="53"/>
  <c r="T81" i="53"/>
  <c r="T62" i="53"/>
  <c r="T83" i="53"/>
  <c r="T90" i="53"/>
  <c r="S69" i="53"/>
  <c r="T59" i="53"/>
  <c r="T98" i="53"/>
  <c r="T79" i="53"/>
  <c r="T57" i="53"/>
  <c r="S67" i="53"/>
  <c r="S54" i="53"/>
  <c r="T51" i="53"/>
  <c r="S96" i="53"/>
  <c r="T87" i="53"/>
  <c r="T99" i="53"/>
  <c r="T71" i="53"/>
  <c r="S70" i="53"/>
  <c r="T76" i="53"/>
  <c r="S53" i="53"/>
  <c r="T61" i="53"/>
  <c r="S81" i="53"/>
  <c r="S83" i="53"/>
  <c r="S85" i="53"/>
  <c r="S73" i="53"/>
  <c r="T66" i="53"/>
  <c r="S80" i="53"/>
  <c r="S95" i="53"/>
  <c r="T74" i="53"/>
  <c r="T77" i="53"/>
  <c r="S61" i="53"/>
  <c r="S68" i="53"/>
  <c r="S97" i="53"/>
  <c r="T58" i="53"/>
  <c r="S65" i="53"/>
  <c r="T93" i="53"/>
  <c r="T80" i="53"/>
  <c r="S100" i="53"/>
  <c r="T69" i="53"/>
  <c r="T68" i="53"/>
  <c r="T72" i="53"/>
  <c r="S99" i="53"/>
  <c r="S78" i="53"/>
  <c r="T75" i="53"/>
  <c r="T73" i="53"/>
  <c r="T84" i="53"/>
  <c r="T86" i="53"/>
  <c r="T54" i="53"/>
  <c r="S60" i="53"/>
  <c r="T82" i="53"/>
  <c r="S57" i="53"/>
  <c r="S62" i="53"/>
  <c r="S59" i="53"/>
  <c r="T56" i="53"/>
  <c r="S87" i="53"/>
  <c r="S98" i="53"/>
  <c r="S66" i="53"/>
  <c r="T55" i="53"/>
  <c r="S79" i="53"/>
  <c r="S71" i="53"/>
  <c r="T92" i="53"/>
  <c r="S76" i="53"/>
  <c r="S86" i="53"/>
  <c r="T85" i="53"/>
  <c r="T53" i="53"/>
  <c r="S63" i="53"/>
  <c r="T64" i="53"/>
  <c r="T91" i="53"/>
  <c r="S77" i="53"/>
  <c r="S90" i="53"/>
  <c r="T96" i="53"/>
  <c r="S55" i="53"/>
  <c r="S75" i="53"/>
  <c r="T100" i="53"/>
  <c r="S56" i="53"/>
  <c r="T95" i="53"/>
  <c r="T60" i="53"/>
  <c r="S72" i="53"/>
  <c r="T70" i="53"/>
  <c r="S82" i="53"/>
  <c r="S92" i="53"/>
  <c r="T94" i="53"/>
  <c r="T65" i="53"/>
  <c r="S52" i="53"/>
  <c r="S58" i="53"/>
  <c r="S88" i="53"/>
  <c r="S64" i="53"/>
  <c r="T67" i="53"/>
  <c r="S74" i="53"/>
  <c r="T88" i="53"/>
  <c r="S89" i="53"/>
  <c r="T63" i="53"/>
  <c r="S94" i="53"/>
  <c r="S93" i="53"/>
  <c r="S51" i="53"/>
  <c r="T89" i="53"/>
  <c r="T97" i="53"/>
  <c r="T78" i="53"/>
  <c r="S91" i="53"/>
  <c r="S29" i="53"/>
  <c r="T30" i="53"/>
  <c r="T16" i="53"/>
  <c r="S44" i="53"/>
  <c r="S10" i="53"/>
  <c r="T11" i="53"/>
  <c r="T29" i="53"/>
  <c r="S30" i="53"/>
  <c r="S16" i="53"/>
  <c r="T44" i="53"/>
  <c r="T10" i="53"/>
  <c r="S11" i="53"/>
  <c r="S45" i="53"/>
  <c r="T46" i="53"/>
  <c r="S32" i="53"/>
  <c r="S50" i="53"/>
  <c r="T42" i="53"/>
  <c r="S43" i="53"/>
  <c r="T32" i="53"/>
  <c r="T50" i="53"/>
  <c r="S42" i="53"/>
  <c r="T43" i="53"/>
  <c r="S46" i="53"/>
  <c r="S15" i="53"/>
  <c r="S36" i="53"/>
  <c r="T27" i="53"/>
  <c r="S12" i="53"/>
  <c r="S47" i="53"/>
  <c r="T48" i="53"/>
  <c r="T36" i="53"/>
  <c r="S27" i="53"/>
  <c r="T12" i="53"/>
  <c r="T2" i="53"/>
  <c r="S34" i="53"/>
  <c r="T17" i="53"/>
  <c r="T5" i="53"/>
  <c r="S28" i="53"/>
  <c r="S37" i="53"/>
  <c r="S2" i="53"/>
  <c r="S18" i="53"/>
  <c r="S21" i="53"/>
  <c r="S33" i="53"/>
  <c r="R3" i="53"/>
  <c r="T3" i="53"/>
  <c r="T23" i="53"/>
  <c r="T18" i="53"/>
  <c r="T21" i="53"/>
  <c r="T33" i="53"/>
  <c r="Q3" i="53"/>
  <c r="S3" i="53"/>
  <c r="T14" i="53"/>
  <c r="R8" i="53"/>
  <c r="T8" i="53"/>
  <c r="T47" i="53"/>
  <c r="S48" i="53"/>
  <c r="Q12" i="53"/>
  <c r="R12" i="53"/>
  <c r="R5" i="53"/>
  <c r="Q5" i="53"/>
  <c r="Q6" i="53"/>
  <c r="Q7" i="53"/>
  <c r="R6" i="53"/>
  <c r="R7" i="53"/>
  <c r="Q9" i="53"/>
  <c r="Q4" i="53"/>
  <c r="Q8" i="53"/>
  <c r="R4" i="53"/>
  <c r="R11" i="53"/>
  <c r="R10" i="53"/>
  <c r="Q11" i="53"/>
  <c r="F51" i="54"/>
  <c r="Q89" i="53" s="1"/>
  <c r="B40" i="53"/>
  <c r="L12" i="53"/>
  <c r="B6" i="53"/>
  <c r="B14" i="53"/>
  <c r="B39" i="53"/>
  <c r="L44" i="53"/>
  <c r="L34" i="53"/>
  <c r="B34" i="53"/>
  <c r="B13" i="53"/>
  <c r="B27" i="53"/>
  <c r="B8" i="53"/>
  <c r="L40" i="53"/>
  <c r="B19" i="53"/>
  <c r="L19" i="53"/>
  <c r="L13" i="53"/>
  <c r="B28" i="53"/>
  <c r="B45" i="53"/>
  <c r="B46" i="53"/>
  <c r="L27" i="53"/>
  <c r="L45" i="53"/>
  <c r="B20" i="53"/>
  <c r="B4" i="53"/>
  <c r="B43" i="53"/>
  <c r="B38" i="53"/>
  <c r="B36" i="53"/>
  <c r="B21" i="53"/>
  <c r="B37" i="53"/>
  <c r="B11" i="53"/>
  <c r="L8" i="53"/>
  <c r="B5" i="53"/>
  <c r="L38" i="53"/>
  <c r="B12" i="53"/>
  <c r="L6" i="53"/>
  <c r="L46" i="53"/>
  <c r="L7" i="53"/>
  <c r="L14" i="53"/>
  <c r="L4" i="53"/>
  <c r="B44" i="53"/>
  <c r="L39" i="53"/>
  <c r="B18" i="53"/>
  <c r="L18" i="53"/>
  <c r="L28" i="53"/>
  <c r="B50" i="53"/>
  <c r="L50" i="53"/>
  <c r="B31" i="53"/>
  <c r="L31" i="53"/>
  <c r="L5" i="53"/>
  <c r="L11" i="53"/>
  <c r="B25" i="53"/>
  <c r="L25" i="53"/>
  <c r="B32" i="53"/>
  <c r="L32" i="53"/>
  <c r="B23" i="53"/>
  <c r="L23" i="53"/>
  <c r="L36" i="53"/>
  <c r="B7" i="53"/>
  <c r="L43" i="53"/>
  <c r="L21" i="53"/>
  <c r="L47" i="53"/>
  <c r="B47" i="53"/>
  <c r="B24" i="53"/>
  <c r="L24" i="53"/>
  <c r="L20" i="53"/>
  <c r="B33" i="53"/>
  <c r="L33" i="53"/>
  <c r="L37" i="53"/>
  <c r="B15" i="53"/>
  <c r="L15" i="53"/>
  <c r="B26" i="53"/>
  <c r="L26" i="53"/>
  <c r="B16" i="53"/>
  <c r="L16" i="53"/>
  <c r="L10" i="53"/>
  <c r="B10" i="53"/>
  <c r="B3" i="53"/>
  <c r="L3" i="53"/>
  <c r="L48" i="53"/>
  <c r="B48" i="53"/>
  <c r="B29" i="53"/>
  <c r="L29" i="53"/>
  <c r="B41" i="53"/>
  <c r="L41" i="53"/>
  <c r="L30" i="53"/>
  <c r="B30" i="53"/>
  <c r="L42" i="53"/>
  <c r="B42" i="53"/>
  <c r="L17" i="53"/>
  <c r="B17" i="53"/>
  <c r="B9" i="53"/>
  <c r="L9" i="53"/>
  <c r="L2" i="53"/>
  <c r="B35" i="53"/>
  <c r="L35" i="53"/>
  <c r="L49" i="53"/>
  <c r="B49" i="53"/>
  <c r="B22" i="53"/>
  <c r="L22" i="53"/>
  <c r="D26" i="53" l="1"/>
  <c r="U2" i="53"/>
  <c r="D34" i="53"/>
  <c r="Q10" i="53"/>
  <c r="R9" i="53"/>
  <c r="D13" i="53"/>
  <c r="D35" i="53"/>
  <c r="D45" i="53"/>
  <c r="D7" i="53"/>
  <c r="D15" i="53"/>
  <c r="D98" i="53"/>
  <c r="D6" i="53"/>
  <c r="D93" i="53"/>
  <c r="D14" i="53"/>
  <c r="D81" i="53"/>
  <c r="D51" i="53"/>
  <c r="D4" i="53"/>
  <c r="D49" i="53"/>
  <c r="D58" i="53"/>
  <c r="D20" i="53"/>
  <c r="D41" i="53"/>
  <c r="D24" i="53"/>
  <c r="D23" i="53"/>
  <c r="D95" i="53"/>
  <c r="D5" i="53"/>
  <c r="D9" i="53"/>
  <c r="D22" i="53"/>
  <c r="D76" i="53"/>
  <c r="D62" i="53"/>
  <c r="D59" i="53"/>
  <c r="D37" i="53"/>
  <c r="D8" i="53"/>
  <c r="D86" i="53"/>
  <c r="R17" i="53"/>
  <c r="R18" i="53"/>
  <c r="D28" i="53"/>
  <c r="D17" i="53"/>
  <c r="D32" i="53"/>
  <c r="D64" i="53"/>
  <c r="D19" i="53"/>
  <c r="D50" i="53"/>
  <c r="D87" i="53"/>
  <c r="D83" i="53"/>
  <c r="D30" i="53"/>
  <c r="D39" i="53"/>
  <c r="D66" i="53"/>
  <c r="R16" i="53"/>
  <c r="R20" i="53"/>
  <c r="Q18" i="53"/>
  <c r="Q20" i="53"/>
  <c r="Q13" i="53"/>
  <c r="R15" i="53"/>
  <c r="R13" i="53"/>
  <c r="D36" i="53"/>
  <c r="D40" i="53"/>
  <c r="D25" i="53"/>
  <c r="Q22" i="53"/>
  <c r="D84" i="53"/>
  <c r="Q15" i="53"/>
  <c r="Q16" i="53"/>
  <c r="R14" i="53"/>
  <c r="Q19" i="53"/>
  <c r="Q14" i="53"/>
  <c r="Q17" i="53"/>
  <c r="R19" i="53"/>
  <c r="D71" i="53"/>
  <c r="R22" i="53"/>
  <c r="D46" i="53"/>
  <c r="Q21" i="53"/>
  <c r="D75" i="53"/>
  <c r="D42" i="53"/>
  <c r="D55" i="53"/>
  <c r="U12" i="53"/>
  <c r="D52" i="53"/>
  <c r="R21" i="53"/>
  <c r="U8" i="53"/>
  <c r="D74" i="53"/>
  <c r="D73" i="53"/>
  <c r="D10" i="53"/>
  <c r="D85" i="53"/>
  <c r="D38" i="53"/>
  <c r="D44" i="53"/>
  <c r="D16" i="53"/>
  <c r="D100" i="53"/>
  <c r="D77" i="53"/>
  <c r="D29" i="53"/>
  <c r="D47" i="53"/>
  <c r="D57" i="53"/>
  <c r="D27" i="53"/>
  <c r="D43" i="53"/>
  <c r="D11" i="53"/>
  <c r="U10" i="53"/>
  <c r="D12" i="53"/>
  <c r="D91" i="53"/>
  <c r="Q34" i="53"/>
  <c r="Q30" i="53"/>
  <c r="Q25" i="53"/>
  <c r="D48" i="53"/>
  <c r="Q53" i="53"/>
  <c r="Q78" i="53"/>
  <c r="Q65" i="53"/>
  <c r="Q87" i="53"/>
  <c r="Q88" i="53"/>
  <c r="D99" i="53"/>
  <c r="R97" i="53"/>
  <c r="R66" i="53"/>
  <c r="Q31" i="53"/>
  <c r="Q27" i="53"/>
  <c r="R56" i="53"/>
  <c r="R82" i="53"/>
  <c r="R62" i="53"/>
  <c r="Q85" i="53"/>
  <c r="R52" i="53"/>
  <c r="Q52" i="53"/>
  <c r="Q23" i="53"/>
  <c r="Q37" i="53"/>
  <c r="R36" i="53"/>
  <c r="Q69" i="53"/>
  <c r="Q60" i="53"/>
  <c r="R77" i="53"/>
  <c r="R71" i="53"/>
  <c r="R64" i="53"/>
  <c r="R67" i="53"/>
  <c r="D69" i="53"/>
  <c r="R34" i="53"/>
  <c r="Q29" i="53"/>
  <c r="Q28" i="53"/>
  <c r="R48" i="53"/>
  <c r="R33" i="53"/>
  <c r="R54" i="53"/>
  <c r="R94" i="53"/>
  <c r="Q83" i="53"/>
  <c r="Q67" i="53"/>
  <c r="Q54" i="53"/>
  <c r="Q64" i="53"/>
  <c r="D90" i="53"/>
  <c r="Q47" i="53"/>
  <c r="Q63" i="53"/>
  <c r="R59" i="53"/>
  <c r="Q81" i="53"/>
  <c r="R87" i="53"/>
  <c r="R70" i="53"/>
  <c r="R57" i="53"/>
  <c r="D53" i="53"/>
  <c r="R58" i="53"/>
  <c r="R26" i="53"/>
  <c r="Q43" i="53"/>
  <c r="R53" i="53"/>
  <c r="R69" i="53"/>
  <c r="Q80" i="53"/>
  <c r="R83" i="53"/>
  <c r="R78" i="53"/>
  <c r="Q58" i="53"/>
  <c r="D65" i="53"/>
  <c r="Q100" i="53"/>
  <c r="R35" i="53"/>
  <c r="R24" i="53"/>
  <c r="R25" i="53"/>
  <c r="R43" i="53"/>
  <c r="R27" i="53"/>
  <c r="R89" i="53"/>
  <c r="U89" i="53" s="1"/>
  <c r="R80" i="53"/>
  <c r="R61" i="53"/>
  <c r="Q94" i="53"/>
  <c r="R65" i="53"/>
  <c r="R51" i="53"/>
  <c r="D94" i="53"/>
  <c r="D63" i="53"/>
  <c r="D70" i="53"/>
  <c r="Q90" i="53"/>
  <c r="Q49" i="53"/>
  <c r="Q40" i="53"/>
  <c r="R39" i="53"/>
  <c r="Q50" i="53"/>
  <c r="Q42" i="53"/>
  <c r="Q62" i="53"/>
  <c r="R93" i="53"/>
  <c r="Q86" i="53"/>
  <c r="R79" i="53"/>
  <c r="Q97" i="53"/>
  <c r="R76" i="53"/>
  <c r="D60" i="53"/>
  <c r="D97" i="53"/>
  <c r="Q44" i="53"/>
  <c r="R31" i="53"/>
  <c r="R42" i="53"/>
  <c r="R30" i="53"/>
  <c r="Q32" i="53"/>
  <c r="R41" i="53"/>
  <c r="Q26" i="53"/>
  <c r="R49" i="53"/>
  <c r="R50" i="53"/>
  <c r="Q57" i="53"/>
  <c r="R72" i="53"/>
  <c r="Q76" i="53"/>
  <c r="R98" i="53"/>
  <c r="Q68" i="53"/>
  <c r="Q70" i="53"/>
  <c r="D89" i="53"/>
  <c r="D82" i="53"/>
  <c r="D68" i="53"/>
  <c r="R46" i="53"/>
  <c r="Q35" i="53"/>
  <c r="R32" i="53"/>
  <c r="R23" i="53"/>
  <c r="Q66" i="53"/>
  <c r="R68" i="53"/>
  <c r="R92" i="53"/>
  <c r="Q84" i="53"/>
  <c r="Q61" i="53"/>
  <c r="R90" i="53"/>
  <c r="D61" i="53"/>
  <c r="Q73" i="53"/>
  <c r="R38" i="53"/>
  <c r="R40" i="53"/>
  <c r="Q24" i="53"/>
  <c r="Q46" i="53"/>
  <c r="D2" i="53"/>
  <c r="Q98" i="53"/>
  <c r="R95" i="53"/>
  <c r="Q91" i="53"/>
  <c r="R86" i="53"/>
  <c r="Q79" i="53"/>
  <c r="Q92" i="53"/>
  <c r="D72" i="53"/>
  <c r="D96" i="53"/>
  <c r="R29" i="53"/>
  <c r="Q39" i="53"/>
  <c r="R45" i="53"/>
  <c r="Q48" i="53"/>
  <c r="U3" i="53"/>
  <c r="Q75" i="53"/>
  <c r="R88" i="53"/>
  <c r="Q56" i="53"/>
  <c r="Q96" i="53"/>
  <c r="R84" i="53"/>
  <c r="Q51" i="53"/>
  <c r="Q82" i="53"/>
  <c r="D92" i="53"/>
  <c r="R37" i="53"/>
  <c r="Q71" i="53"/>
  <c r="Q74" i="53"/>
  <c r="R75" i="53"/>
  <c r="R99" i="53"/>
  <c r="R73" i="53"/>
  <c r="Q93" i="53"/>
  <c r="Q99" i="53"/>
  <c r="D54" i="53"/>
  <c r="Q41" i="53"/>
  <c r="Q45" i="53"/>
  <c r="R44" i="53"/>
  <c r="Q38" i="53"/>
  <c r="R28" i="53"/>
  <c r="Q36" i="53"/>
  <c r="R47" i="53"/>
  <c r="R91" i="53"/>
  <c r="R96" i="53"/>
  <c r="R74" i="53"/>
  <c r="R100" i="53"/>
  <c r="R60" i="53"/>
  <c r="Q55" i="53"/>
  <c r="Q72" i="53"/>
  <c r="D56" i="53"/>
  <c r="D79" i="53"/>
  <c r="D78" i="53"/>
  <c r="D80" i="53"/>
  <c r="D67" i="53"/>
  <c r="R81" i="53"/>
  <c r="Q33" i="53"/>
  <c r="R55" i="53"/>
  <c r="Q59" i="53"/>
  <c r="Q95" i="53"/>
  <c r="Q77" i="53"/>
  <c r="R85" i="53"/>
  <c r="R63" i="53"/>
  <c r="D88" i="53"/>
  <c r="U7" i="53"/>
  <c r="D21" i="53"/>
  <c r="D18" i="53"/>
  <c r="U11" i="53"/>
  <c r="D33" i="53"/>
  <c r="D3" i="53"/>
  <c r="U6" i="53"/>
  <c r="U4" i="53"/>
  <c r="U5" i="53"/>
  <c r="U9" i="53"/>
  <c r="B93" i="19"/>
  <c r="M42" i="53"/>
  <c r="N42" i="53" s="1"/>
  <c r="M43" i="53"/>
  <c r="N43" i="53" s="1"/>
  <c r="M20" i="53"/>
  <c r="N20" i="53" s="1"/>
  <c r="M22" i="53"/>
  <c r="N22" i="53" s="1"/>
  <c r="M5" i="53"/>
  <c r="N5" i="53" s="1"/>
  <c r="M44" i="53"/>
  <c r="N44" i="53" s="1"/>
  <c r="M14" i="53"/>
  <c r="N14" i="53" s="1"/>
  <c r="M15" i="53"/>
  <c r="N15" i="53" s="1"/>
  <c r="M45" i="53"/>
  <c r="N45" i="53" s="1"/>
  <c r="M33" i="53"/>
  <c r="N33" i="53" s="1"/>
  <c r="M49" i="53"/>
  <c r="N49" i="53" s="1"/>
  <c r="M39" i="53"/>
  <c r="N39" i="53" s="1"/>
  <c r="M41" i="53"/>
  <c r="N41" i="53" s="1"/>
  <c r="M25" i="53"/>
  <c r="N25" i="53" s="1"/>
  <c r="M12" i="53"/>
  <c r="N12" i="53" s="1"/>
  <c r="M31" i="53"/>
  <c r="N31" i="53" s="1"/>
  <c r="M19" i="53"/>
  <c r="N19" i="53" s="1"/>
  <c r="M35" i="53"/>
  <c r="N35" i="53" s="1"/>
  <c r="M47" i="53"/>
  <c r="N47" i="53" s="1"/>
  <c r="M11" i="53"/>
  <c r="N11" i="53" s="1"/>
  <c r="M50" i="53"/>
  <c r="N50" i="53" s="1"/>
  <c r="M37" i="53"/>
  <c r="N37" i="53" s="1"/>
  <c r="M8" i="53"/>
  <c r="N8" i="53" s="1"/>
  <c r="M32" i="53"/>
  <c r="N32" i="53" s="1"/>
  <c r="M46" i="53"/>
  <c r="N46" i="53" s="1"/>
  <c r="M28" i="53"/>
  <c r="N28" i="53" s="1"/>
  <c r="M27" i="53"/>
  <c r="N27" i="53" s="1"/>
  <c r="M26" i="53"/>
  <c r="N26" i="53" s="1"/>
  <c r="M40" i="53"/>
  <c r="N40" i="53" s="1"/>
  <c r="M29" i="53"/>
  <c r="N29" i="53" s="1"/>
  <c r="M10" i="53"/>
  <c r="N10" i="53" s="1"/>
  <c r="M21" i="53"/>
  <c r="N21" i="53" s="1"/>
  <c r="M9" i="53"/>
  <c r="N9" i="53" s="1"/>
  <c r="M36" i="53"/>
  <c r="N36" i="53" s="1"/>
  <c r="M13" i="53"/>
  <c r="N13" i="53" s="1"/>
  <c r="M16" i="53"/>
  <c r="N16" i="53" s="1"/>
  <c r="M4" i="53"/>
  <c r="N4" i="53" s="1"/>
  <c r="M23" i="53"/>
  <c r="N23" i="53" s="1"/>
  <c r="M30" i="53"/>
  <c r="N30" i="53" s="1"/>
  <c r="M6" i="53"/>
  <c r="N6" i="53" s="1"/>
  <c r="M48" i="53"/>
  <c r="N48" i="53" s="1"/>
  <c r="M24" i="53"/>
  <c r="N24" i="53" s="1"/>
  <c r="M3" i="53"/>
  <c r="N3" i="53" s="1"/>
  <c r="M17" i="53"/>
  <c r="N17" i="53" s="1"/>
  <c r="M7" i="53"/>
  <c r="N7" i="53" s="1"/>
  <c r="M18" i="53"/>
  <c r="N18" i="53" s="1"/>
  <c r="M38" i="53"/>
  <c r="N38" i="53" s="1"/>
  <c r="M34" i="53"/>
  <c r="N34" i="53" s="1"/>
  <c r="B96" i="19"/>
  <c r="B94" i="19"/>
  <c r="B95" i="19"/>
  <c r="U25" i="53" l="1"/>
  <c r="U37" i="53"/>
  <c r="U33" i="53"/>
  <c r="U44" i="53"/>
  <c r="U77" i="53"/>
  <c r="U71" i="53"/>
  <c r="U88" i="53"/>
  <c r="U15" i="53"/>
  <c r="U17" i="53"/>
  <c r="U22" i="53"/>
  <c r="U19" i="53"/>
  <c r="U18" i="53"/>
  <c r="U41" i="53"/>
  <c r="U39" i="53"/>
  <c r="U20" i="53"/>
  <c r="U66" i="53"/>
  <c r="U16" i="53"/>
  <c r="U28" i="53"/>
  <c r="U57" i="53"/>
  <c r="U35" i="53"/>
  <c r="U61" i="53"/>
  <c r="U65" i="53"/>
  <c r="U36" i="53"/>
  <c r="U48" i="53"/>
  <c r="U74" i="53"/>
  <c r="U24" i="53"/>
  <c r="U87" i="53"/>
  <c r="U51" i="53"/>
  <c r="U21" i="53"/>
  <c r="U94" i="53"/>
  <c r="U49" i="53"/>
  <c r="U80" i="53"/>
  <c r="U13" i="53"/>
  <c r="U40" i="53"/>
  <c r="U27" i="53"/>
  <c r="U38" i="53"/>
  <c r="U14" i="53"/>
  <c r="U82" i="53"/>
  <c r="U34" i="53"/>
  <c r="U32" i="53"/>
  <c r="U30" i="53"/>
  <c r="U64" i="53"/>
  <c r="U70" i="53"/>
  <c r="U29" i="53"/>
  <c r="U53" i="53"/>
  <c r="U52" i="53"/>
  <c r="U95" i="53"/>
  <c r="U59" i="53"/>
  <c r="U79" i="53"/>
  <c r="U62" i="53"/>
  <c r="U26" i="53"/>
  <c r="U50" i="53"/>
  <c r="U83" i="53"/>
  <c r="U45" i="53"/>
  <c r="U69" i="53"/>
  <c r="U76" i="53"/>
  <c r="U43" i="53"/>
  <c r="U86" i="53"/>
  <c r="U68" i="53"/>
  <c r="U46" i="53"/>
  <c r="U42" i="53"/>
  <c r="U98" i="53"/>
  <c r="U78" i="53"/>
  <c r="U72" i="53"/>
  <c r="U93" i="53"/>
  <c r="U84" i="53"/>
  <c r="U23" i="53"/>
  <c r="U91" i="53"/>
  <c r="U85" i="53"/>
  <c r="U100" i="53"/>
  <c r="U92" i="53"/>
  <c r="U75" i="53"/>
  <c r="U90" i="53"/>
  <c r="U81" i="53"/>
  <c r="U96" i="53"/>
  <c r="U99" i="53"/>
  <c r="U56" i="53"/>
  <c r="U58" i="53"/>
  <c r="U63" i="53"/>
  <c r="U67" i="53"/>
  <c r="U55" i="53"/>
  <c r="U73" i="53"/>
  <c r="U47" i="53"/>
  <c r="U31" i="53"/>
  <c r="U97" i="53"/>
  <c r="U54" i="53"/>
  <c r="U60" i="53"/>
  <c r="V2" i="53"/>
  <c r="W2" i="53" l="1"/>
  <c r="X2" i="53" s="1"/>
  <c r="Y2" i="53" s="1"/>
  <c r="E2" i="53" s="1"/>
  <c r="G2" i="53" l="1"/>
  <c r="F2" i="53"/>
  <c r="H2" i="53" l="1"/>
  <c r="C3" i="53" l="1"/>
  <c r="V3" i="53" s="1"/>
  <c r="W3" i="53" s="1"/>
  <c r="X3" i="53" s="1"/>
  <c r="Y3" i="53" s="1"/>
  <c r="E3" i="53" s="1"/>
  <c r="Z2" i="53"/>
  <c r="G3" i="53" l="1"/>
  <c r="F3" i="53"/>
  <c r="H3" i="53" l="1"/>
  <c r="Z3" i="53"/>
  <c r="C4" i="53" l="1"/>
  <c r="V4" i="53" s="1"/>
  <c r="W4" i="53" l="1"/>
  <c r="X4" i="53" s="1"/>
  <c r="Y4" i="53" s="1"/>
  <c r="E4" i="53" l="1"/>
  <c r="F4" i="53" l="1"/>
  <c r="G4" i="53"/>
  <c r="H4" i="53" l="1"/>
  <c r="Z4" i="53"/>
  <c r="C5" i="53" l="1"/>
  <c r="V5" i="53" s="1"/>
  <c r="W5" i="53" s="1"/>
  <c r="X5" i="53" s="1"/>
  <c r="Y5" i="53" s="1"/>
  <c r="E5" i="53" l="1"/>
  <c r="F5" i="53" l="1"/>
  <c r="G5" i="53"/>
  <c r="H5" i="53" l="1"/>
  <c r="Z5" i="53"/>
  <c r="C6" i="53" l="1"/>
  <c r="V6" i="53" s="1"/>
  <c r="W6" i="53" l="1"/>
  <c r="X6" i="53" s="1"/>
  <c r="Y6" i="53" s="1"/>
  <c r="E6" i="53" s="1"/>
  <c r="G6" i="53" s="1"/>
  <c r="F6" i="53" l="1"/>
  <c r="Z6" i="53" s="1"/>
  <c r="H6" i="53" l="1"/>
  <c r="C7" i="53" s="1"/>
  <c r="V7" i="53" s="1"/>
  <c r="W7" i="53" l="1"/>
  <c r="X7" i="53" s="1"/>
  <c r="Y7" i="53" s="1"/>
  <c r="E7" i="53" s="1"/>
  <c r="F7" i="53" l="1"/>
  <c r="G7" i="53"/>
  <c r="H7" i="53" l="1"/>
  <c r="Z7" i="53"/>
  <c r="C8" i="53" l="1"/>
  <c r="V8" i="53" s="1"/>
  <c r="W8" i="53" l="1"/>
  <c r="X8" i="53" s="1"/>
  <c r="Y8" i="53" s="1"/>
  <c r="E8" i="53" l="1"/>
  <c r="G8" i="53" l="1"/>
  <c r="F8" i="53"/>
  <c r="H8" i="53" l="1"/>
  <c r="Z8" i="53"/>
  <c r="C9" i="53" l="1"/>
  <c r="V9" i="53" s="1"/>
  <c r="W9" i="53" l="1"/>
  <c r="X9" i="53" s="1"/>
  <c r="Y9" i="53" s="1"/>
  <c r="E9" i="53" s="1"/>
  <c r="G9" i="53" l="1"/>
  <c r="F9" i="53"/>
  <c r="H9" i="53" l="1"/>
  <c r="Z9" i="53"/>
  <c r="C10" i="53" l="1"/>
  <c r="V10" i="53" s="1"/>
  <c r="W10" i="53" l="1"/>
  <c r="X10" i="53" s="1"/>
  <c r="Y10" i="53" s="1"/>
  <c r="E10" i="53" s="1"/>
  <c r="F10" i="53" s="1"/>
  <c r="G10" i="53" l="1"/>
  <c r="Z10" i="53"/>
  <c r="H10" i="53" l="1"/>
  <c r="C11" i="53" s="1"/>
  <c r="V11" i="53" s="1"/>
  <c r="W11" i="53" l="1"/>
  <c r="X11" i="53" s="1"/>
  <c r="Y11" i="53" s="1"/>
  <c r="E11" i="53" s="1"/>
  <c r="G11" i="53" l="1"/>
  <c r="F11" i="53"/>
  <c r="H11" i="53" l="1"/>
  <c r="Z11" i="53"/>
  <c r="C12" i="53" l="1"/>
  <c r="V12" i="53" s="1"/>
  <c r="W12" i="53" l="1"/>
  <c r="X12" i="53" s="1"/>
  <c r="Y12" i="53" s="1"/>
  <c r="E12" i="53" l="1"/>
  <c r="G12" i="53" l="1"/>
  <c r="F12" i="53"/>
  <c r="H12" i="53" l="1"/>
  <c r="Z12" i="53"/>
  <c r="C13" i="53" l="1"/>
  <c r="V13" i="53" s="1"/>
  <c r="W13" i="53" l="1"/>
  <c r="X13" i="53" s="1"/>
  <c r="Y13" i="53" s="1"/>
  <c r="E13" i="53" s="1"/>
  <c r="F13" i="53" l="1"/>
  <c r="G13" i="53"/>
  <c r="H13" i="53" l="1"/>
  <c r="C14" i="53" s="1"/>
  <c r="V14" i="53" s="1"/>
  <c r="Z13" i="53"/>
  <c r="W14" i="53" l="1"/>
  <c r="X14" i="53" s="1"/>
  <c r="Y14" i="53" s="1"/>
  <c r="E14" i="53" s="1"/>
  <c r="G14" i="53" l="1"/>
  <c r="F14" i="53"/>
  <c r="H14" i="53" l="1"/>
  <c r="Z14" i="53"/>
  <c r="C15" i="53" l="1"/>
  <c r="V15" i="53" s="1"/>
  <c r="W15" i="53" l="1"/>
  <c r="X15" i="53" s="1"/>
  <c r="Y15" i="53" l="1"/>
  <c r="E15" i="53" s="1"/>
  <c r="F15" i="53" l="1"/>
  <c r="G15" i="53"/>
  <c r="H15" i="53" l="1"/>
  <c r="Z15" i="53"/>
  <c r="C16" i="53" l="1"/>
  <c r="V16" i="53" s="1"/>
  <c r="W16" i="53" l="1"/>
  <c r="X16" i="53" s="1"/>
  <c r="Y16" i="53" s="1"/>
  <c r="E16" i="53" s="1"/>
  <c r="F16" i="53" l="1"/>
  <c r="G16" i="53"/>
  <c r="H16" i="53" l="1"/>
  <c r="C17" i="53" s="1"/>
  <c r="V17" i="53" s="1"/>
  <c r="Z16" i="53"/>
  <c r="W17" i="53" l="1"/>
  <c r="X17" i="53" s="1"/>
  <c r="Y17" i="53" s="1"/>
  <c r="E17" i="53" s="1"/>
  <c r="F17" i="53" l="1"/>
  <c r="G17" i="53"/>
  <c r="H17" i="53" l="1"/>
  <c r="Z17" i="53"/>
  <c r="C18" i="53" l="1"/>
  <c r="V18" i="53" s="1"/>
  <c r="W18" i="53" l="1"/>
  <c r="X18" i="53" s="1"/>
  <c r="Y18" i="53" s="1"/>
  <c r="E18" i="53" s="1"/>
  <c r="F18" i="53" l="1"/>
  <c r="G18" i="53"/>
  <c r="H18" i="53" l="1"/>
  <c r="Z18" i="53"/>
  <c r="C19" i="53" l="1"/>
  <c r="V19" i="53" s="1"/>
  <c r="W19" i="53" l="1"/>
  <c r="X19" i="53" s="1"/>
  <c r="Y19" i="53" s="1"/>
  <c r="E19" i="53" s="1"/>
  <c r="G19" i="53" s="1"/>
  <c r="F19" i="53" l="1"/>
  <c r="Z19" i="53" s="1"/>
  <c r="H19" i="53" l="1"/>
  <c r="C20" i="53" s="1"/>
  <c r="V20" i="53" s="1"/>
  <c r="W20" i="53" l="1"/>
  <c r="X20" i="53" s="1"/>
  <c r="Y20" i="53" s="1"/>
  <c r="E20" i="53" l="1"/>
  <c r="F20" i="53" l="1"/>
  <c r="G20" i="53"/>
  <c r="H20" i="53" l="1"/>
  <c r="Z20" i="53"/>
  <c r="C21" i="53" l="1"/>
  <c r="V21" i="53" s="1"/>
  <c r="W21" i="53" l="1"/>
  <c r="X21" i="53" s="1"/>
  <c r="Y21" i="53" s="1"/>
  <c r="E21" i="53" s="1"/>
  <c r="F21" i="53" s="1"/>
  <c r="G21" i="53" l="1"/>
  <c r="Z21" i="53"/>
  <c r="H21" i="53" l="1"/>
  <c r="C22" i="53" s="1"/>
  <c r="V22" i="53" s="1"/>
  <c r="W22" i="53" l="1"/>
  <c r="X22" i="53" s="1"/>
  <c r="Y22" i="53" l="1"/>
  <c r="E22" i="53" s="1"/>
  <c r="G22" i="53" l="1"/>
  <c r="F22" i="53"/>
  <c r="H22" i="53" l="1"/>
  <c r="Z22" i="53"/>
  <c r="C23" i="53" l="1"/>
  <c r="V23" i="53" s="1"/>
  <c r="W23" i="53" l="1"/>
  <c r="X23" i="53" s="1"/>
  <c r="Y23" i="53" s="1"/>
  <c r="E23" i="53" s="1"/>
  <c r="G23" i="53" s="1"/>
  <c r="F23" i="53" l="1"/>
  <c r="H23" i="53" l="1"/>
  <c r="C24" i="53" s="1"/>
  <c r="V24" i="53" s="1"/>
  <c r="Z23" i="53"/>
  <c r="W24" i="53" l="1"/>
  <c r="X24" i="53" s="1"/>
  <c r="Y24" i="53" s="1"/>
  <c r="E24" i="53" l="1"/>
  <c r="F24" i="53" l="1"/>
  <c r="G24" i="53"/>
  <c r="H24" i="53" l="1"/>
  <c r="C25" i="53" s="1"/>
  <c r="V25" i="53" s="1"/>
  <c r="Z24" i="53"/>
  <c r="W25" i="53" l="1"/>
  <c r="X25" i="53" s="1"/>
  <c r="Y25" i="53" s="1"/>
  <c r="E25" i="53" l="1"/>
  <c r="F25" i="53" l="1"/>
  <c r="G25" i="53"/>
  <c r="H25" i="53" l="1"/>
  <c r="Z25" i="53"/>
  <c r="C26" i="53" l="1"/>
  <c r="V26" i="53" s="1"/>
  <c r="W26" i="53" l="1"/>
  <c r="X26" i="53" s="1"/>
  <c r="Y26" i="53" s="1"/>
  <c r="E26" i="53" s="1"/>
  <c r="G26" i="53" l="1"/>
  <c r="F26" i="53"/>
  <c r="H26" i="53" l="1"/>
  <c r="Z26" i="53"/>
  <c r="C27" i="53" l="1"/>
  <c r="V27" i="53" s="1"/>
  <c r="W27" i="53" l="1"/>
  <c r="X27" i="53" s="1"/>
  <c r="Y27" i="53" s="1"/>
  <c r="E27" i="53" s="1"/>
  <c r="F27" i="53" s="1"/>
  <c r="G27" i="53" l="1"/>
  <c r="Z27" i="53"/>
  <c r="H27" i="53" l="1"/>
  <c r="C28" i="53" s="1"/>
  <c r="V28" i="53" s="1"/>
  <c r="W28" i="53" l="1"/>
  <c r="X28" i="53" s="1"/>
  <c r="Y28" i="53" s="1"/>
  <c r="E28" i="53" l="1"/>
  <c r="G28" i="53" l="1"/>
  <c r="F28" i="53"/>
  <c r="H28" i="53" l="1"/>
  <c r="Z28" i="53"/>
  <c r="C29" i="53" l="1"/>
  <c r="V29" i="53" s="1"/>
  <c r="W29" i="53" l="1"/>
  <c r="X29" i="53" s="1"/>
  <c r="Y29" i="53" s="1"/>
  <c r="E29" i="53" s="1"/>
  <c r="G29" i="53" l="1"/>
  <c r="F29" i="53"/>
  <c r="H29" i="53" l="1"/>
  <c r="Z29" i="53"/>
  <c r="C30" i="53" l="1"/>
  <c r="V30" i="53" s="1"/>
  <c r="W30" i="53" l="1"/>
  <c r="X30" i="53" s="1"/>
  <c r="Y30" i="53" s="1"/>
  <c r="E30" i="53" s="1"/>
  <c r="G30" i="53" s="1"/>
  <c r="F30" i="53" l="1"/>
  <c r="Z30" i="53" s="1"/>
  <c r="H30" i="53" l="1"/>
  <c r="C31" i="53" s="1"/>
  <c r="V31" i="53" s="1"/>
  <c r="W31" i="53" l="1"/>
  <c r="X31" i="53" s="1"/>
  <c r="Y31" i="53" s="1"/>
  <c r="E31" i="53" s="1"/>
  <c r="G31" i="53" l="1"/>
  <c r="F31" i="53"/>
  <c r="H31" i="53" l="1"/>
  <c r="Z31" i="53"/>
  <c r="C32" i="53" l="1"/>
  <c r="V32" i="53" s="1"/>
  <c r="W32" i="53" l="1"/>
  <c r="X32" i="53" s="1"/>
  <c r="Y32" i="53" s="1"/>
  <c r="E32" i="53" l="1"/>
  <c r="F32" i="53" l="1"/>
  <c r="G32" i="53"/>
  <c r="H32" i="53" l="1"/>
  <c r="C33" i="53" s="1"/>
  <c r="V33" i="53" s="1"/>
  <c r="Z32" i="53"/>
  <c r="W33" i="53" l="1"/>
  <c r="X33" i="53" s="1"/>
  <c r="Y33" i="53" s="1"/>
  <c r="E33" i="53" s="1"/>
  <c r="G33" i="53" l="1"/>
  <c r="F33" i="53"/>
  <c r="H33" i="53" l="1"/>
  <c r="C34" i="53" s="1"/>
  <c r="V34" i="53" s="1"/>
  <c r="Z33" i="53"/>
  <c r="W34" i="53" l="1"/>
  <c r="X34" i="53" s="1"/>
  <c r="Y34" i="53" s="1"/>
  <c r="E34" i="53" s="1"/>
  <c r="F34" i="53" l="1"/>
  <c r="Z34" i="53" s="1"/>
  <c r="G34" i="53"/>
  <c r="H34" i="53" l="1"/>
  <c r="C35" i="53" s="1"/>
  <c r="V35" i="53" s="1"/>
  <c r="W35" i="53" l="1"/>
  <c r="X35" i="53" s="1"/>
  <c r="Y35" i="53" s="1"/>
  <c r="E35" i="53" s="1"/>
  <c r="F35" i="53" l="1"/>
  <c r="G35" i="53"/>
  <c r="H35" i="53" l="1"/>
  <c r="C36" i="53" s="1"/>
  <c r="V36" i="53" s="1"/>
  <c r="Z35" i="53"/>
  <c r="W36" i="53" l="1"/>
  <c r="X36" i="53" s="1"/>
  <c r="Y36" i="53" s="1"/>
  <c r="E36" i="53" l="1"/>
  <c r="G36" i="53" l="1"/>
  <c r="F36" i="53"/>
  <c r="H36" i="53" l="1"/>
  <c r="C37" i="53" s="1"/>
  <c r="V37" i="53" s="1"/>
  <c r="Z36" i="53"/>
  <c r="W37" i="53" l="1"/>
  <c r="X37" i="53" s="1"/>
  <c r="Y37" i="53" s="1"/>
  <c r="E37" i="53" l="1"/>
  <c r="F37" i="53" l="1"/>
  <c r="Z37" i="53" s="1"/>
  <c r="G37" i="53"/>
  <c r="H37" i="53" l="1"/>
  <c r="C38" i="53" s="1"/>
  <c r="V38" i="53" s="1"/>
  <c r="W38" i="53" l="1"/>
  <c r="X38" i="53" s="1"/>
  <c r="Y38" i="53" l="1"/>
  <c r="E38" i="53" s="1"/>
  <c r="G38" i="53" l="1"/>
  <c r="F38" i="53"/>
  <c r="H38" i="53" l="1"/>
  <c r="C39" i="53" s="1"/>
  <c r="V39" i="53" s="1"/>
  <c r="Z38" i="53"/>
  <c r="W39" i="53" l="1"/>
  <c r="X39" i="53" s="1"/>
  <c r="Y39" i="53" s="1"/>
  <c r="E39" i="53" s="1"/>
  <c r="G39" i="53" l="1"/>
  <c r="F39" i="53"/>
  <c r="H39" i="53" l="1"/>
  <c r="C40" i="53" s="1"/>
  <c r="V40" i="53" s="1"/>
  <c r="Z39" i="53"/>
  <c r="W40" i="53" l="1"/>
  <c r="X40" i="53" s="1"/>
  <c r="Y40" i="53" s="1"/>
  <c r="E40" i="53" l="1"/>
  <c r="G40" i="53" l="1"/>
  <c r="F40" i="53"/>
  <c r="H40" i="53" l="1"/>
  <c r="C41" i="53" s="1"/>
  <c r="V41" i="53" s="1"/>
  <c r="Z40" i="53"/>
  <c r="W41" i="53" l="1"/>
  <c r="X41" i="53" s="1"/>
  <c r="Y41" i="53" s="1"/>
  <c r="E41" i="53" l="1"/>
  <c r="F41" i="53" l="1"/>
  <c r="G41" i="53"/>
  <c r="H41" i="53" l="1"/>
  <c r="C42" i="53" s="1"/>
  <c r="V42" i="53" s="1"/>
  <c r="Z41" i="53"/>
  <c r="W42" i="53" l="1"/>
  <c r="X42" i="53" s="1"/>
  <c r="Y42" i="53" l="1"/>
  <c r="E42" i="53" s="1"/>
  <c r="F42" i="53" l="1"/>
  <c r="Z42" i="53" s="1"/>
  <c r="G42" i="53"/>
  <c r="H42" i="53" l="1"/>
  <c r="C43" i="53" s="1"/>
  <c r="V43" i="53" s="1"/>
  <c r="W43" i="53" l="1"/>
  <c r="X43" i="53" s="1"/>
  <c r="Y43" i="53" l="1"/>
  <c r="E43" i="53" s="1"/>
  <c r="G43" i="53" l="1"/>
  <c r="F43" i="53"/>
  <c r="H43" i="53" l="1"/>
  <c r="C44" i="53" s="1"/>
  <c r="V44" i="53" s="1"/>
  <c r="Z43" i="53"/>
  <c r="W44" i="53" l="1"/>
  <c r="X44" i="53" s="1"/>
  <c r="Y44" i="53" s="1"/>
  <c r="E44" i="53" l="1"/>
  <c r="F44" i="53" l="1"/>
  <c r="G44" i="53"/>
  <c r="H44" i="53" l="1"/>
  <c r="C45" i="53" s="1"/>
  <c r="V45" i="53" s="1"/>
  <c r="Z44" i="53"/>
  <c r="W45" i="53" l="1"/>
  <c r="X45" i="53" s="1"/>
  <c r="Y45" i="53" s="1"/>
  <c r="E45" i="53" l="1"/>
  <c r="F45" i="53" l="1"/>
  <c r="G45" i="53"/>
  <c r="H45" i="53" l="1"/>
  <c r="C46" i="53" s="1"/>
  <c r="V46" i="53" s="1"/>
  <c r="Z45" i="53"/>
  <c r="W46" i="53" l="1"/>
  <c r="X46" i="53" s="1"/>
  <c r="Y46" i="53" s="1"/>
  <c r="E46" i="53" s="1"/>
  <c r="G46" i="53" l="1"/>
  <c r="F46" i="53"/>
  <c r="H46" i="53" l="1"/>
  <c r="C47" i="53" s="1"/>
  <c r="V47" i="53" s="1"/>
  <c r="Z46" i="53"/>
  <c r="W47" i="53" l="1"/>
  <c r="X47" i="53" s="1"/>
  <c r="Y47" i="53" s="1"/>
  <c r="E47" i="53" l="1"/>
  <c r="F47" i="53" l="1"/>
  <c r="G47" i="53"/>
  <c r="H47" i="53" l="1"/>
  <c r="C48" i="53" s="1"/>
  <c r="V48" i="53" s="1"/>
  <c r="Z47" i="53"/>
  <c r="W48" i="53" l="1"/>
  <c r="X48" i="53" s="1"/>
  <c r="Y48" i="53" l="1"/>
  <c r="E48" i="53" s="1"/>
  <c r="F48" i="53" l="1"/>
  <c r="G48" i="53"/>
  <c r="H48" i="53" l="1"/>
  <c r="C49" i="53" s="1"/>
  <c r="V49" i="53" s="1"/>
  <c r="Z48" i="53"/>
  <c r="W49" i="53" l="1"/>
  <c r="X49" i="53" s="1"/>
  <c r="Y49" i="53" s="1"/>
  <c r="E49" i="53" l="1"/>
  <c r="F49" i="53" l="1"/>
  <c r="Z49" i="53" s="1"/>
  <c r="G49" i="53"/>
  <c r="H49" i="53" l="1"/>
  <c r="C50" i="53" s="1"/>
  <c r="V50" i="53" s="1"/>
  <c r="W50" i="53" l="1"/>
  <c r="X50" i="53" s="1"/>
  <c r="Y50" i="53" s="1"/>
  <c r="E50" i="53" s="1"/>
  <c r="G50" i="53" l="1"/>
  <c r="F50" i="53"/>
  <c r="H50" i="53" l="1"/>
  <c r="C51" i="53" s="1"/>
  <c r="V51" i="53" s="1"/>
  <c r="Z50" i="53"/>
  <c r="W51" i="53" l="1"/>
  <c r="X51" i="53" s="1"/>
  <c r="Y51" i="53" s="1"/>
  <c r="E51" i="53" s="1"/>
  <c r="F51" i="53" l="1"/>
  <c r="G51" i="53"/>
  <c r="H51" i="53" l="1"/>
  <c r="C52" i="53" s="1"/>
  <c r="V52" i="53" s="1"/>
  <c r="Z51" i="53"/>
  <c r="W52" i="53" l="1"/>
  <c r="X52" i="53" s="1"/>
  <c r="Y52" i="53" s="1"/>
  <c r="E52" i="53" l="1"/>
  <c r="F52" i="53" l="1"/>
  <c r="G52" i="53"/>
  <c r="Z52" i="53" l="1"/>
  <c r="H52" i="53"/>
  <c r="C53" i="53" s="1"/>
  <c r="V53" i="53" s="1"/>
  <c r="W53" i="53" l="1"/>
  <c r="X53" i="53" s="1"/>
  <c r="Y53" i="53" s="1"/>
  <c r="E53" i="53" l="1"/>
  <c r="F53" i="53" l="1"/>
  <c r="G53" i="53"/>
  <c r="H53" i="53" l="1"/>
  <c r="C54" i="53" s="1"/>
  <c r="V54" i="53" s="1"/>
  <c r="Z53" i="53"/>
  <c r="W54" i="53" l="1"/>
  <c r="X54" i="53" s="1"/>
  <c r="Y54" i="53" s="1"/>
  <c r="E54" i="53" s="1"/>
  <c r="G54" i="53" l="1"/>
  <c r="F54" i="53"/>
  <c r="H54" i="53" l="1"/>
  <c r="C55" i="53" s="1"/>
  <c r="V55" i="53" s="1"/>
  <c r="Z54" i="53"/>
  <c r="W55" i="53" l="1"/>
  <c r="X55" i="53" s="1"/>
  <c r="Y55" i="53" s="1"/>
  <c r="E55" i="53" s="1"/>
  <c r="G55" i="53" l="1"/>
  <c r="F55" i="53"/>
  <c r="H55" i="53" l="1"/>
  <c r="C56" i="53" s="1"/>
  <c r="V56" i="53" s="1"/>
  <c r="Z55" i="53"/>
  <c r="W56" i="53" l="1"/>
  <c r="X56" i="53" s="1"/>
  <c r="Y56" i="53" s="1"/>
  <c r="E56" i="53" l="1"/>
  <c r="G56" i="53" l="1"/>
  <c r="F56" i="53"/>
  <c r="H56" i="53" l="1"/>
  <c r="C57" i="53" s="1"/>
  <c r="V57" i="53" s="1"/>
  <c r="Z56" i="53"/>
  <c r="W57" i="53" l="1"/>
  <c r="X57" i="53" s="1"/>
  <c r="Y57" i="53" s="1"/>
  <c r="E57" i="53" l="1"/>
  <c r="F57" i="53" l="1"/>
  <c r="G57" i="53"/>
  <c r="Z57" i="53" l="1"/>
  <c r="H57" i="53"/>
  <c r="C58" i="53" s="1"/>
  <c r="V58" i="53" s="1"/>
  <c r="W58" i="53" l="1"/>
  <c r="X58" i="53" s="1"/>
  <c r="Y58" i="53" s="1"/>
  <c r="E58" i="53" s="1"/>
  <c r="G58" i="53" l="1"/>
  <c r="F58" i="53"/>
  <c r="H58" i="53" l="1"/>
  <c r="C59" i="53" s="1"/>
  <c r="V59" i="53" s="1"/>
  <c r="Z58" i="53"/>
  <c r="W59" i="53" l="1"/>
  <c r="X59" i="53" s="1"/>
  <c r="Y59" i="53" l="1"/>
  <c r="E59" i="53" s="1"/>
  <c r="G59" i="53" l="1"/>
  <c r="F59" i="53"/>
  <c r="H59" i="53" l="1"/>
  <c r="C60" i="53" s="1"/>
  <c r="V60" i="53" s="1"/>
  <c r="Z59" i="53"/>
  <c r="W60" i="53" l="1"/>
  <c r="X60" i="53" s="1"/>
  <c r="Y60" i="53" s="1"/>
  <c r="E60" i="53" l="1"/>
  <c r="F60" i="53" l="1"/>
  <c r="G60" i="53"/>
  <c r="H60" i="53" l="1"/>
  <c r="C61" i="53" s="1"/>
  <c r="V61" i="53" s="1"/>
  <c r="Z60" i="53"/>
  <c r="W61" i="53" l="1"/>
  <c r="X61" i="53" s="1"/>
  <c r="Y61" i="53" s="1"/>
  <c r="E61" i="53" l="1"/>
  <c r="G61" i="53" l="1"/>
  <c r="F61" i="53"/>
  <c r="H61" i="53" l="1"/>
  <c r="C62" i="53" s="1"/>
  <c r="V62" i="53" s="1"/>
  <c r="Z61" i="53"/>
  <c r="W62" i="53" l="1"/>
  <c r="X62" i="53" s="1"/>
  <c r="Y62" i="53" s="1"/>
  <c r="E62" i="53" l="1"/>
  <c r="G62" i="53" l="1"/>
  <c r="F62" i="53"/>
  <c r="H62" i="53" l="1"/>
  <c r="C63" i="53" s="1"/>
  <c r="V63" i="53" s="1"/>
  <c r="Z62" i="53"/>
  <c r="W63" i="53" l="1"/>
  <c r="X63" i="53" s="1"/>
  <c r="Y63" i="53" l="1"/>
  <c r="E63" i="53" s="1"/>
  <c r="F63" i="53" l="1"/>
  <c r="Z63" i="53" s="1"/>
  <c r="G63" i="53"/>
  <c r="H63" i="53" l="1"/>
  <c r="C64" i="53" s="1"/>
  <c r="V64" i="53" s="1"/>
  <c r="W64" i="53" l="1"/>
  <c r="X64" i="53" s="1"/>
  <c r="Y64" i="53" s="1"/>
  <c r="E64" i="53" l="1"/>
  <c r="G64" i="53" l="1"/>
  <c r="F64" i="53"/>
  <c r="H64" i="53" l="1"/>
  <c r="C65" i="53" s="1"/>
  <c r="V65" i="53" s="1"/>
  <c r="Z64" i="53"/>
  <c r="W65" i="53" l="1"/>
  <c r="X65" i="53" s="1"/>
  <c r="Y65" i="53" s="1"/>
  <c r="E65" i="53" l="1"/>
  <c r="F65" i="53" l="1"/>
  <c r="G65" i="53"/>
  <c r="H65" i="53" l="1"/>
  <c r="C66" i="53" s="1"/>
  <c r="V66" i="53" s="1"/>
  <c r="Z65" i="53"/>
  <c r="W66" i="53" l="1"/>
  <c r="X66" i="53" s="1"/>
  <c r="Y66" i="53" s="1"/>
  <c r="E66" i="53" s="1"/>
  <c r="F66" i="53" l="1"/>
  <c r="G66" i="53"/>
  <c r="H66" i="53" l="1"/>
  <c r="C67" i="53" s="1"/>
  <c r="V67" i="53" s="1"/>
  <c r="Z66" i="53"/>
  <c r="W67" i="53" l="1"/>
  <c r="X67" i="53" s="1"/>
  <c r="Y67" i="53" s="1"/>
  <c r="E67" i="53" l="1"/>
  <c r="F67" i="53" l="1"/>
  <c r="G67" i="53"/>
  <c r="H67" i="53" l="1"/>
  <c r="C68" i="53" s="1"/>
  <c r="V68" i="53" s="1"/>
  <c r="Z67" i="53"/>
  <c r="W68" i="53" l="1"/>
  <c r="X68" i="53" s="1"/>
  <c r="Y68" i="53" s="1"/>
  <c r="E68" i="53" l="1"/>
  <c r="F68" i="53" l="1"/>
  <c r="Z68" i="53" s="1"/>
  <c r="G68" i="53"/>
  <c r="H68" i="53" l="1"/>
  <c r="C69" i="53" s="1"/>
  <c r="V69" i="53" s="1"/>
  <c r="W69" i="53" l="1"/>
  <c r="X69" i="53" s="1"/>
  <c r="Y69" i="53" l="1"/>
  <c r="E69" i="53" s="1"/>
  <c r="F69" i="53" l="1"/>
  <c r="G69" i="53"/>
  <c r="Z69" i="53" l="1"/>
  <c r="H69" i="53"/>
  <c r="C70" i="53" s="1"/>
  <c r="V70" i="53" s="1"/>
  <c r="W70" i="53" l="1"/>
  <c r="X70" i="53" s="1"/>
  <c r="Y70" i="53" s="1"/>
  <c r="E70" i="53" s="1"/>
  <c r="F70" i="53" l="1"/>
  <c r="G70" i="53"/>
  <c r="H70" i="53" l="1"/>
  <c r="C71" i="53" s="1"/>
  <c r="V71" i="53" s="1"/>
  <c r="Z70" i="53"/>
  <c r="W71" i="53" l="1"/>
  <c r="X71" i="53" s="1"/>
  <c r="Y71" i="53" l="1"/>
  <c r="E71" i="53" s="1"/>
  <c r="G71" i="53" l="1"/>
  <c r="F71" i="53"/>
  <c r="H71" i="53" l="1"/>
  <c r="C72" i="53" s="1"/>
  <c r="V72" i="53" s="1"/>
  <c r="Z71" i="53"/>
  <c r="W72" i="53" l="1"/>
  <c r="X72" i="53" s="1"/>
  <c r="Y72" i="53" l="1"/>
  <c r="E72" i="53" s="1"/>
  <c r="F72" i="53" l="1"/>
  <c r="G72" i="53"/>
  <c r="H72" i="53" l="1"/>
  <c r="C73" i="53" s="1"/>
  <c r="V73" i="53" s="1"/>
  <c r="Z72" i="53"/>
  <c r="W73" i="53" l="1"/>
  <c r="X73" i="53" s="1"/>
  <c r="Y73" i="53" s="1"/>
  <c r="E73" i="53" l="1"/>
  <c r="G73" i="53" l="1"/>
  <c r="F73" i="53"/>
  <c r="H73" i="53" l="1"/>
  <c r="C74" i="53" s="1"/>
  <c r="V74" i="53" s="1"/>
  <c r="Z73" i="53"/>
  <c r="W74" i="53" l="1"/>
  <c r="X74" i="53" s="1"/>
  <c r="Y74" i="53" s="1"/>
  <c r="E74" i="53" s="1"/>
  <c r="F74" i="53" l="1"/>
  <c r="G74" i="53"/>
  <c r="H74" i="53" l="1"/>
  <c r="C75" i="53" s="1"/>
  <c r="V75" i="53" s="1"/>
  <c r="Z74" i="53"/>
  <c r="W75" i="53" l="1"/>
  <c r="X75" i="53" s="1"/>
  <c r="Y75" i="53" l="1"/>
  <c r="E75" i="53" s="1"/>
  <c r="F75" i="53" l="1"/>
  <c r="G75" i="53"/>
  <c r="Z75" i="53"/>
  <c r="H75" i="53" l="1"/>
  <c r="C76" i="53" s="1"/>
  <c r="V76" i="53" s="1"/>
  <c r="W76" i="53" l="1"/>
  <c r="X76" i="53" s="1"/>
  <c r="Y76" i="53" s="1"/>
  <c r="E76" i="53" l="1"/>
  <c r="F76" i="53" l="1"/>
  <c r="Z76" i="53" s="1"/>
  <c r="G76" i="53"/>
  <c r="H76" i="53" l="1"/>
  <c r="C77" i="53" s="1"/>
  <c r="V77" i="53" s="1"/>
  <c r="W77" i="53" l="1"/>
  <c r="X77" i="53" s="1"/>
  <c r="Y77" i="53" l="1"/>
  <c r="E77" i="53" s="1"/>
  <c r="F77" i="53" l="1"/>
  <c r="G77" i="53"/>
  <c r="Z77" i="53" l="1"/>
  <c r="H77" i="53"/>
  <c r="C78" i="53" s="1"/>
  <c r="V78" i="53" s="1"/>
  <c r="W78" i="53" l="1"/>
  <c r="X78" i="53" s="1"/>
  <c r="Y78" i="53" l="1"/>
  <c r="E78" i="53" s="1"/>
  <c r="F78" i="53" l="1"/>
  <c r="G78" i="53"/>
  <c r="Z78" i="53"/>
  <c r="H78" i="53" l="1"/>
  <c r="C79" i="53" s="1"/>
  <c r="V79" i="53" s="1"/>
  <c r="W79" i="53" l="1"/>
  <c r="X79" i="53" s="1"/>
  <c r="Y79" i="53" l="1"/>
  <c r="E79" i="53" s="1"/>
  <c r="F79" i="53" l="1"/>
  <c r="G79" i="53"/>
  <c r="Z79" i="53"/>
  <c r="H79" i="53" l="1"/>
  <c r="C80" i="53" s="1"/>
  <c r="V80" i="53" s="1"/>
  <c r="W80" i="53" l="1"/>
  <c r="X80" i="53" s="1"/>
  <c r="Y80" i="53" s="1"/>
  <c r="E80" i="53" l="1"/>
  <c r="F80" i="53" l="1"/>
  <c r="G80" i="53"/>
  <c r="Z80" i="53" l="1"/>
  <c r="H80" i="53"/>
  <c r="C81" i="53" s="1"/>
  <c r="V81" i="53" s="1"/>
  <c r="W81" i="53" l="1"/>
  <c r="X81" i="53" s="1"/>
  <c r="Y81" i="53" s="1"/>
  <c r="E81" i="53" l="1"/>
  <c r="G81" i="53" l="1"/>
  <c r="F81" i="53"/>
  <c r="Z81" i="53"/>
  <c r="H81" i="53" l="1"/>
  <c r="C82" i="53" s="1"/>
  <c r="V82" i="53" s="1"/>
  <c r="W82" i="53" l="1"/>
  <c r="X82" i="53" s="1"/>
  <c r="Y82" i="53" s="1"/>
  <c r="E82" i="53" s="1"/>
  <c r="F82" i="53" l="1"/>
  <c r="G82" i="53"/>
  <c r="H82" i="53" l="1"/>
  <c r="C83" i="53" s="1"/>
  <c r="V83" i="53" s="1"/>
  <c r="Z82" i="53"/>
  <c r="W83" i="53" l="1"/>
  <c r="X83" i="53" s="1"/>
  <c r="Y83" i="53" s="1"/>
  <c r="E83" i="53" s="1"/>
  <c r="F83" i="53" l="1"/>
  <c r="G83" i="53"/>
  <c r="H83" i="53" l="1"/>
  <c r="C84" i="53" s="1"/>
  <c r="V84" i="53" s="1"/>
  <c r="Z83" i="53"/>
  <c r="W84" i="53" l="1"/>
  <c r="X84" i="53" s="1"/>
  <c r="Y84" i="53" s="1"/>
  <c r="E84" i="53" l="1"/>
  <c r="G84" i="53" l="1"/>
  <c r="F84" i="53"/>
  <c r="Z84" i="53"/>
  <c r="H84" i="53" l="1"/>
  <c r="C85" i="53" s="1"/>
  <c r="V85" i="53" s="1"/>
  <c r="W85" i="53" l="1"/>
  <c r="X85" i="53" s="1"/>
  <c r="Y85" i="53" s="1"/>
  <c r="E85" i="53" l="1"/>
  <c r="F85" i="53" l="1"/>
  <c r="G85" i="53"/>
  <c r="Z85" i="53"/>
  <c r="H85" i="53" l="1"/>
  <c r="C86" i="53" s="1"/>
  <c r="V86" i="53" s="1"/>
  <c r="W86" i="53" l="1"/>
  <c r="X86" i="53" s="1"/>
  <c r="Y86" i="53" s="1"/>
  <c r="E86" i="53" s="1"/>
  <c r="G86" i="53" l="1"/>
  <c r="F86" i="53"/>
  <c r="H86" i="53" l="1"/>
  <c r="C87" i="53" s="1"/>
  <c r="V87" i="53" s="1"/>
  <c r="Z86" i="53"/>
  <c r="W87" i="53" l="1"/>
  <c r="X87" i="53" s="1"/>
  <c r="Y87" i="53" s="1"/>
  <c r="E87" i="53" s="1"/>
  <c r="F87" i="53" l="1"/>
  <c r="G87" i="53"/>
  <c r="H87" i="53" l="1"/>
  <c r="C88" i="53" s="1"/>
  <c r="V88" i="53" s="1"/>
  <c r="Z87" i="53"/>
  <c r="W88" i="53" l="1"/>
  <c r="X88" i="53" s="1"/>
  <c r="Y88" i="53" s="1"/>
  <c r="E88" i="53" l="1"/>
  <c r="G88" i="53" l="1"/>
  <c r="F88" i="53"/>
  <c r="Z88" i="53"/>
  <c r="H88" i="53" l="1"/>
  <c r="C89" i="53" s="1"/>
  <c r="V89" i="53" s="1"/>
  <c r="W89" i="53" l="1"/>
  <c r="X89" i="53" s="1"/>
  <c r="Y89" i="53" s="1"/>
  <c r="E89" i="53" l="1"/>
  <c r="F89" i="53" l="1"/>
  <c r="Z89" i="53" s="1"/>
  <c r="G89" i="53"/>
  <c r="H89" i="53" l="1"/>
  <c r="C90" i="53" s="1"/>
  <c r="V90" i="53" s="1"/>
  <c r="W90" i="53" l="1"/>
  <c r="X90" i="53" s="1"/>
  <c r="Y90" i="53" s="1"/>
  <c r="E90" i="53" s="1"/>
  <c r="G90" i="53" l="1"/>
  <c r="F90" i="53"/>
  <c r="H90" i="53" l="1"/>
  <c r="C91" i="53" s="1"/>
  <c r="V91" i="53" s="1"/>
  <c r="Z90" i="53"/>
  <c r="W91" i="53" l="1"/>
  <c r="X91" i="53" s="1"/>
  <c r="Y91" i="53" l="1"/>
  <c r="E91" i="53" s="1"/>
  <c r="G91" i="53" l="1"/>
  <c r="F91" i="53"/>
  <c r="Z91" i="53"/>
  <c r="H91" i="53" l="1"/>
  <c r="C92" i="53" s="1"/>
  <c r="V92" i="53" s="1"/>
  <c r="W92" i="53" l="1"/>
  <c r="X92" i="53" s="1"/>
  <c r="Y92" i="53" s="1"/>
  <c r="E92" i="53" l="1"/>
  <c r="F92" i="53" l="1"/>
  <c r="Z92" i="53" s="1"/>
  <c r="G92" i="53"/>
  <c r="H92" i="53" l="1"/>
  <c r="C93" i="53" s="1"/>
  <c r="V93" i="53" s="1"/>
  <c r="W93" i="53" l="1"/>
  <c r="X93" i="53" s="1"/>
  <c r="Y93" i="53" s="1"/>
  <c r="E93" i="53" l="1"/>
  <c r="G93" i="53" l="1"/>
  <c r="F93" i="53"/>
  <c r="Z93" i="53"/>
  <c r="H93" i="53" l="1"/>
  <c r="C94" i="53" s="1"/>
  <c r="V94" i="53" s="1"/>
  <c r="W94" i="53" l="1"/>
  <c r="X94" i="53" s="1"/>
  <c r="Y94" i="53" s="1"/>
  <c r="E94" i="53" s="1"/>
  <c r="F94" i="53" l="1"/>
  <c r="G94" i="53"/>
  <c r="H94" i="53" l="1"/>
  <c r="C95" i="53" s="1"/>
  <c r="V95" i="53" s="1"/>
  <c r="Z94" i="53"/>
  <c r="W95" i="53" l="1"/>
  <c r="X95" i="53" s="1"/>
  <c r="Y95" i="53" s="1"/>
  <c r="E95" i="53" s="1"/>
  <c r="G95" i="53" l="1"/>
  <c r="F95" i="53"/>
  <c r="H95" i="53" l="1"/>
  <c r="C96" i="53" s="1"/>
  <c r="V96" i="53" s="1"/>
  <c r="Z95" i="53"/>
  <c r="W96" i="53" l="1"/>
  <c r="X96" i="53" s="1"/>
  <c r="Y96" i="53" s="1"/>
  <c r="E96" i="53" l="1"/>
  <c r="G96" i="53" l="1"/>
  <c r="F96" i="53"/>
  <c r="Z96" i="53" s="1"/>
  <c r="H96" i="53" l="1"/>
  <c r="C97" i="53" s="1"/>
  <c r="V97" i="53" s="1"/>
  <c r="W97" i="53" l="1"/>
  <c r="X97" i="53" s="1"/>
  <c r="Y97" i="53" s="1"/>
  <c r="E97" i="53" l="1"/>
  <c r="G97" i="53" l="1"/>
  <c r="F97" i="53"/>
  <c r="Z97" i="53"/>
  <c r="H97" i="53" l="1"/>
  <c r="C98" i="53" s="1"/>
  <c r="V98" i="53" s="1"/>
  <c r="W98" i="53" l="1"/>
  <c r="X98" i="53" s="1"/>
  <c r="Y98" i="53" s="1"/>
  <c r="E98" i="53" s="1"/>
  <c r="F98" i="53" l="1"/>
  <c r="G98" i="53"/>
  <c r="H98" i="53" l="1"/>
  <c r="C99" i="53" s="1"/>
  <c r="V99" i="53" s="1"/>
  <c r="Z98" i="53"/>
  <c r="W99" i="53" l="1"/>
  <c r="X99" i="53" s="1"/>
  <c r="Y99" i="53" s="1"/>
  <c r="E99" i="53" s="1"/>
  <c r="F99" i="53" l="1"/>
  <c r="G99" i="53"/>
  <c r="H99" i="53" l="1"/>
  <c r="C100" i="53" s="1"/>
  <c r="V100" i="53" s="1"/>
  <c r="Z99" i="53"/>
  <c r="W100" i="53" l="1"/>
  <c r="X100" i="53" s="1"/>
  <c r="Y100" i="53" s="1"/>
  <c r="E100" i="53" s="1"/>
  <c r="F100" i="53" l="1"/>
  <c r="Z100" i="53" s="1"/>
  <c r="G100" i="53"/>
  <c r="H100" i="53" l="1"/>
  <c r="D34" i="19" s="1" a="1"/>
  <c r="D34" i="19" s="1"/>
  <c r="B34" i="1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LinkedTable_Table1" type="102" refreshedVersion="6" minRefreshableVersion="5">
    <extLst>
      <ext xmlns:x15="http://schemas.microsoft.com/office/spreadsheetml/2010/11/main" uri="{DE250136-89BD-433C-8126-D09CA5730AF9}">
        <x15:connection id="Table1-9f93c2b9-47cd-46f5-9bf4-c2afa241914c">
          <x15:rangePr sourceName="_xlcn.LinkedTable_Table11"/>
        </x15:connection>
      </ext>
    </extLst>
  </connection>
  <connection id="2" xr16:uid="{00000000-0015-0000-FFFF-FFFF05000000}" keepAlive="1" name="ThisWorkbookDataModel" description="Data Model" type="5" refreshedVersion="5"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<sst xmlns="http://schemas.openxmlformats.org/spreadsheetml/2006/main" count="337" uniqueCount="228">
  <si>
    <t>Description</t>
  </si>
  <si>
    <t>Type</t>
  </si>
  <si>
    <t>Cash</t>
  </si>
  <si>
    <t>Year</t>
  </si>
  <si>
    <t>Fund</t>
  </si>
  <si>
    <t>Bond</t>
  </si>
  <si>
    <t>Price</t>
  </si>
  <si>
    <t>Amount</t>
  </si>
  <si>
    <t>Age-self</t>
  </si>
  <si>
    <t>Age-spouse</t>
  </si>
  <si>
    <t>Year#</t>
  </si>
  <si>
    <t>Withdrawal</t>
  </si>
  <si>
    <t>% Withdrawal</t>
  </si>
  <si>
    <t>Expense</t>
  </si>
  <si>
    <t>Annual</t>
  </si>
  <si>
    <t>CD-BAC</t>
  </si>
  <si>
    <t>Maturity Year</t>
  </si>
  <si>
    <t>CD-Wells Fargo</t>
  </si>
  <si>
    <t>Annual Income</t>
  </si>
  <si>
    <t>SS-Annual-check-self</t>
  </si>
  <si>
    <t>SS-Annual-Check-spouse</t>
  </si>
  <si>
    <t>Expected Inflation</t>
  </si>
  <si>
    <t xml:space="preserve"> Total Expense</t>
  </si>
  <si>
    <t>Personal Information:</t>
  </si>
  <si>
    <t>Retirement Year - self</t>
  </si>
  <si>
    <t>Retirement Year - spouse</t>
  </si>
  <si>
    <t>First retirement year</t>
  </si>
  <si>
    <t>SS Claim Year - self</t>
  </si>
  <si>
    <t>SS Claim Year - spouse</t>
  </si>
  <si>
    <t>* This will come into play only when the person has retired but eligible for medicare age</t>
  </si>
  <si>
    <t>Savings, Investments &amp; Financial Assets</t>
  </si>
  <si>
    <t xml:space="preserve">Social Security Details </t>
  </si>
  <si>
    <t>Planning Year</t>
  </si>
  <si>
    <t>Savings</t>
  </si>
  <si>
    <t>Govt Bond</t>
  </si>
  <si>
    <t>Bonds/CDs (maturing on a specific year)</t>
  </si>
  <si>
    <t>* Do not include any assets earmarked for one-off, non-retirement financial goals (e.g. children education costs)</t>
  </si>
  <si>
    <t>Medicare Annual Cost Per Person</t>
  </si>
  <si>
    <t>Second retirement year</t>
  </si>
  <si>
    <t>Starts in Year</t>
  </si>
  <si>
    <t>Ends in Year</t>
  </si>
  <si>
    <t>Duration (How many months does each payment cover)</t>
  </si>
  <si>
    <t>Student Loan repayment</t>
  </si>
  <si>
    <t>Workplace Med premium (stops when both retire)</t>
  </si>
  <si>
    <t>*EDIT WITH CARE : the formula uses the year of the second retirement</t>
  </si>
  <si>
    <t>*EDIT WITH CARE: the formula uses the year after the second retirement</t>
  </si>
  <si>
    <t>* This will come into play only when both spouses retired, and one or more spouse is below medicare age and needs private health insurance</t>
  </si>
  <si>
    <t>Post-retirement splurge in initial retirement years (temporary - lasts only 10 years)</t>
  </si>
  <si>
    <t>Post-retirement additional costs (permanent)</t>
  </si>
  <si>
    <t>* Start Year: use 0 as default, End Year: use 9999 as default)</t>
  </si>
  <si>
    <t>Permanent Expenses go here (current expenses that will continue forever)</t>
  </si>
  <si>
    <t>Limited-time Expenses go here (current expenses that will stop in the future). This might include Non-retirement Savings, Debt payments, Spendings specific to working year, etc.</t>
  </si>
  <si>
    <t>* Any parttime work taken up after retirement</t>
  </si>
  <si>
    <t>Pre-retirement Income:</t>
  </si>
  <si>
    <t>Optional Post-retirement Income</t>
  </si>
  <si>
    <t>* Number of years to do parttime work</t>
  </si>
  <si>
    <t>Annual Gross Income from Rental Property</t>
  </si>
  <si>
    <t>Annual Gross Income from other Investment Property</t>
  </si>
  <si>
    <t>* Gross Income from any Rental Property</t>
  </si>
  <si>
    <t>Parttime Job End Year - self</t>
  </si>
  <si>
    <t>Pension Start Year - self</t>
  </si>
  <si>
    <t>Pension Start Year - spouse</t>
  </si>
  <si>
    <t>Parttime Job End Year - spouse</t>
  </si>
  <si>
    <t>* Get these numbers from SSA.gov calculators (SS Annual Payment at Full Retirement Age, e.g., 67, IN TODAY'S DOLLARS)</t>
  </si>
  <si>
    <t>Effective Tax Rate II</t>
  </si>
  <si>
    <t>Effective Tax Rate I</t>
  </si>
  <si>
    <t>Effective Tax Rate III</t>
  </si>
  <si>
    <t>Medicare Start Year -self</t>
  </si>
  <si>
    <t>Medicare Start Year - spouse</t>
  </si>
  <si>
    <t>Future Expenses go here (expenses that will start at a future date and continue forever or end after some time). Please specify the years when the expense will start, and the year when the expense will end</t>
  </si>
  <si>
    <t>Additional Expenses (e.g. Medical Insurance) -DO NOT EDIT</t>
  </si>
  <si>
    <t>(Pre-medicare) Health Insurance Annual Cost Per Person</t>
  </si>
  <si>
    <t>* Medicare starts at age 65</t>
  </si>
  <si>
    <t>* Medicare starts at age 66</t>
  </si>
  <si>
    <t>* Private insurance needed before 65, after both spouses retire</t>
  </si>
  <si>
    <t>Mortgage (Principal and Interest) - Primary Home</t>
  </si>
  <si>
    <t>Mortgage (Principal and Interest) - Rental Home</t>
  </si>
  <si>
    <t>Medical Out of pocket</t>
  </si>
  <si>
    <t>Taxable Income</t>
  </si>
  <si>
    <t>Tax (includes Realized Portfolio Income)</t>
  </si>
  <si>
    <t xml:space="preserve"> Expense</t>
  </si>
  <si>
    <t>Portfolio Tax Liability</t>
  </si>
  <si>
    <t>Payroll Tax deduction from earned income</t>
  </si>
  <si>
    <t>Future Expense 1</t>
  </si>
  <si>
    <t>Future Expense 2</t>
  </si>
  <si>
    <t>Future Expense 3</t>
  </si>
  <si>
    <t>Future Expense 4</t>
  </si>
  <si>
    <t>Expense Information:</t>
  </si>
  <si>
    <t>Current Annual Expense</t>
  </si>
  <si>
    <t>Current Permanent Annual Expense</t>
  </si>
  <si>
    <t>Future Additional Annual Expense</t>
  </si>
  <si>
    <t>Future Additional Permanent Annual Expense</t>
  </si>
  <si>
    <t>Maximum Annual Expense</t>
  </si>
  <si>
    <t>* Max or self vs spousal SS</t>
  </si>
  <si>
    <t>Self</t>
  </si>
  <si>
    <t>Spouse</t>
  </si>
  <si>
    <t>Claim Social Security at Age:</t>
  </si>
  <si>
    <t>Social-Security at Full Age (Annual)</t>
  </si>
  <si>
    <t>PreRetirementIncome-Annual</t>
  </si>
  <si>
    <t>RetirementAge</t>
  </si>
  <si>
    <t>Married / With Partner?</t>
  </si>
  <si>
    <r>
      <t>*</t>
    </r>
    <r>
      <rPr>
        <b/>
        <sz val="11"/>
        <color theme="1"/>
        <rFont val="Calibri"/>
        <family val="2"/>
        <scheme val="minor"/>
      </rPr>
      <t xml:space="preserve"> Enter Yes/Y for Joint Planning with a Partner</t>
    </r>
  </si>
  <si>
    <t>Pension Start Age</t>
  </si>
  <si>
    <t>Pension - Annual</t>
  </si>
  <si>
    <t>Vacation</t>
  </si>
  <si>
    <t>Other Debt repayments</t>
  </si>
  <si>
    <t>Additional Buffer for unaccounted expenses</t>
  </si>
  <si>
    <t>End of Input</t>
  </si>
  <si>
    <t>Miscelleneous estimates:</t>
  </si>
  <si>
    <t>DO NOT EDIT THE COMPUTED CELLS BELOW</t>
  </si>
  <si>
    <t>Rent</t>
  </si>
  <si>
    <t>DO NOT EDIT BELOW THIS LINE</t>
  </si>
  <si>
    <t>Year of Birth</t>
  </si>
  <si>
    <t>Global Stock Return (nominal)</t>
  </si>
  <si>
    <t>Govt Bond Return (nominal)</t>
  </si>
  <si>
    <t>Portfolio Return</t>
  </si>
  <si>
    <t>% of total assets in stocks</t>
  </si>
  <si>
    <t>Use Conservative Return?</t>
  </si>
  <si>
    <t>Show Today's Dollars?</t>
  </si>
  <si>
    <t>Return Adjustment for Conservative:</t>
  </si>
  <si>
    <t>Effective Tax Rate</t>
  </si>
  <si>
    <t>Tables</t>
  </si>
  <si>
    <t>Expense Frequency</t>
  </si>
  <si>
    <t>Annual Multiplier</t>
  </si>
  <si>
    <t>Monthly</t>
  </si>
  <si>
    <t>Weekly</t>
  </si>
  <si>
    <t>Quarterly</t>
  </si>
  <si>
    <t>Half-yearly</t>
  </si>
  <si>
    <t>Frequency</t>
  </si>
  <si>
    <t>Stock %</t>
  </si>
  <si>
    <t>* Example - Alimony, Child support, etc.</t>
  </si>
  <si>
    <t>Additional Temporary Annual Income 1</t>
  </si>
  <si>
    <t>Additional Temporary Annual Income 2</t>
  </si>
  <si>
    <t>Additional Temporary Annual Income 3</t>
  </si>
  <si>
    <t>Temporary Income 1 End Year</t>
  </si>
  <si>
    <t>Temporary Income 2 End Year</t>
  </si>
  <si>
    <t>Temporary Income 3 End Year</t>
  </si>
  <si>
    <t>* Which year does the income completely stop?</t>
  </si>
  <si>
    <t>Every two weeks</t>
  </si>
  <si>
    <t>Annual Amount</t>
  </si>
  <si>
    <t>YOU CAN SKIP THESE TO  USE THE DEFAULTS</t>
  </si>
  <si>
    <t>Current Balance</t>
  </si>
  <si>
    <t>Corporate Bonds</t>
  </si>
  <si>
    <t>IRA</t>
  </si>
  <si>
    <t>ROTH IRA</t>
  </si>
  <si>
    <t>Balance</t>
  </si>
  <si>
    <t>* DO NOT double count anything from the Brokerage/Retirement Accounts that are already listed as CASH or BONDS Above</t>
  </si>
  <si>
    <t>Long-term Care Reserve?</t>
  </si>
  <si>
    <t>Long-term Care Annual Cost per-person</t>
  </si>
  <si>
    <t>Long-term Care Duration in Years</t>
  </si>
  <si>
    <t>Long-term Care Age:</t>
  </si>
  <si>
    <t>Portfolio Tax Estimate Heuristic:</t>
  </si>
  <si>
    <t>Taxability Portion</t>
  </si>
  <si>
    <t>Age Increment of Taxability % of Portfolio</t>
  </si>
  <si>
    <t>* A 20-year old has 2% of the portfolio exposed to taxes whereas 100-year old has 10% exposed</t>
  </si>
  <si>
    <t>* Only half of the potential portfolio tax exposure is taxable</t>
  </si>
  <si>
    <t xml:space="preserve"> MIN  (MAX (  [Age*Age_Increment) * Portfolio Balance], [MAX (Expense - Income, 0)] ) , Portfolio Balance) * Taxability Portion]</t>
  </si>
  <si>
    <t>Inflation Adjust?</t>
  </si>
  <si>
    <t>Car Loan</t>
  </si>
  <si>
    <t>Mortgage &amp; Loans (All payments that ends at a future date and the payments are fixed, i.e., doesn't increase with inflation)</t>
  </si>
  <si>
    <t>Inflate By</t>
  </si>
  <si>
    <t>Deflate By</t>
  </si>
  <si>
    <t>Expense (Variable $)</t>
  </si>
  <si>
    <t>Expense (Fixed $ )</t>
  </si>
  <si>
    <t>Income (Variable $)</t>
  </si>
  <si>
    <t>Income (Fixed $)</t>
  </si>
  <si>
    <t>* Age of the single planner or youngest partner of joint planners</t>
  </si>
  <si>
    <t>Years</t>
  </si>
  <si>
    <t>Money Lasts Until Age:</t>
  </si>
  <si>
    <t>PostRetirementJobIncome-Annual</t>
  </si>
  <si>
    <t>PostRetirementJobDurationInYears</t>
  </si>
  <si>
    <t>* Number of years until taking up a post-retirement job (e.g., duration of a Sabbatical Break)</t>
  </si>
  <si>
    <t>Parttime Job Start Year - self</t>
  </si>
  <si>
    <t>Parttime Job Start Year - spouse</t>
  </si>
  <si>
    <t>Gap Years Before Post-retirement Job</t>
  </si>
  <si>
    <t xml:space="preserve">* You can find the optimal claim ages using online tools </t>
  </si>
  <si>
    <t>* SS and Medicare Tax withholding. Doesn't account for SS cap or additional medicare witholding</t>
  </si>
  <si>
    <t xml:space="preserve"> Total Income</t>
  </si>
  <si>
    <t>Beginning Balance</t>
  </si>
  <si>
    <t>Ending Balance</t>
  </si>
  <si>
    <t>Investment Return Assumptions</t>
  </si>
  <si>
    <t>Healthcare Cost Assumptions</t>
  </si>
  <si>
    <t>Tax Assumptions:</t>
  </si>
  <si>
    <t>Effective Tax Rate Income Threshold I (Single / MFJ)</t>
  </si>
  <si>
    <t>Effective Tax Rate Income Threshold II (Single / MFJ)</t>
  </si>
  <si>
    <t>Estimates Adjustments for Planning Year:</t>
  </si>
  <si>
    <t>Misc Cost / Tax-bracket Estimates as of Year:</t>
  </si>
  <si>
    <t>*Long-term care for self</t>
  </si>
  <si>
    <t>*Long-term care for spouse</t>
  </si>
  <si>
    <t>Property Tax, Insurance, HOA - Primary Home</t>
  </si>
  <si>
    <t>All Utilities + Subscriptions</t>
  </si>
  <si>
    <t>Transportation (Gas + Maintenance)</t>
  </si>
  <si>
    <t>Saving for Car Replacement every 10 years</t>
  </si>
  <si>
    <t>Saving for Major Home Maintenance / Renovation</t>
  </si>
  <si>
    <t>* Cost of new car divided by 10</t>
  </si>
  <si>
    <t>* 0.75% - 1.5% of home value depending on age of home</t>
  </si>
  <si>
    <t>Food, Grocery, Clothing, Household Expenses</t>
  </si>
  <si>
    <t>Discretionary expenses (eat out, entertainment, gifts)</t>
  </si>
  <si>
    <t>Misc expense</t>
  </si>
  <si>
    <t>All Insurances</t>
  </si>
  <si>
    <t>Permanent Lifestyle Expenses</t>
  </si>
  <si>
    <t>* Zero it out if individual cost breakup is available</t>
  </si>
  <si>
    <t>Misc debt</t>
  </si>
  <si>
    <t>Misc living and schooling cost for Child 1</t>
  </si>
  <si>
    <t>Daycare + early childhood costs for Child 1</t>
  </si>
  <si>
    <t>College Education for Child 1</t>
  </si>
  <si>
    <t>Misc temporary expense</t>
  </si>
  <si>
    <t>* All Financial Information you enter in thie model should be AS OF this planning year,  which is typically the current year or a previous year. These information should be refreshed annually</t>
  </si>
  <si>
    <r>
      <t xml:space="preserve">* </t>
    </r>
    <r>
      <rPr>
        <b/>
        <sz val="11"/>
        <color theme="1"/>
        <rFont val="Calibri"/>
        <family val="2"/>
        <scheme val="minor"/>
      </rPr>
      <t>Gross Income</t>
    </r>
    <r>
      <rPr>
        <sz val="11"/>
        <color theme="1"/>
        <rFont val="Calibri"/>
        <family val="2"/>
        <scheme val="minor"/>
      </rPr>
      <t xml:space="preserve"> (includes any tax-deferred savings (401K etc.) even though they don't appear on W2)</t>
    </r>
  </si>
  <si>
    <t>* Gross Income from any other illiquid investments (DO NOT include dividend/income from financial accounts)</t>
  </si>
  <si>
    <t>* This is the percent of sotck holding in your overall financial assets / investments. Leave zero if you are unsure.</t>
  </si>
  <si>
    <t>Consider using these cells in Start / End years for your Expense / Income details</t>
  </si>
  <si>
    <t>If you enter Birth Year of Child in Start Year, the duration of the typical child-related expenses will be adjusted accordingly</t>
  </si>
  <si>
    <t>TOTAL Financial Assets (Savings+Investments)</t>
  </si>
  <si>
    <t xml:space="preserve">Other financial investments </t>
  </si>
  <si>
    <t>DO NOT EDIT (Income from SS, Rental, Parttime job, Alimony, Child support, etc.)</t>
  </si>
  <si>
    <t>Income</t>
  </si>
  <si>
    <t>High Yield Savings Account</t>
  </si>
  <si>
    <t>Bank Savings Accounts</t>
  </si>
  <si>
    <t>CD 1</t>
  </si>
  <si>
    <t>CD 2</t>
  </si>
  <si>
    <t>Misc</t>
  </si>
  <si>
    <t>Cash in Accounts outside of brokerage or retirement</t>
  </si>
  <si>
    <t>Brokerage Account</t>
  </si>
  <si>
    <t>Workplace Retirement Account</t>
  </si>
  <si>
    <t>Rollover IRA</t>
  </si>
  <si>
    <t>Property Tax,Insurance &amp; Management - Rental Home</t>
  </si>
  <si>
    <t>Temporary Support for Grown-up Child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</si>
</sst>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44" formatCode="_(&quot;$&quot;* #,##0.00_);_(&quot;$&quot;* \(#,##0.00\);_(&quot;$&quot;* &quot;-&quot;??_);_(@_)"/>
    <numFmt numFmtId="43" formatCode="_(* #,##0.00_);_(* \(#,##0.00\);_(* &quot;-&quot;??_);_(@_)"/>
    <numFmt numFmtId="164" formatCode="_([$$-409]* #,##0.00_);_([$$-409]* \(#,##0.00\);_([$$-409]* &quot;-&quot;??_);_(@_)"/>
    <numFmt numFmtId="165" formatCode="_-[$$-C09]* #,##0.00_-;\-[$$-C09]* #,##0.00_-;_-[$$-C09]* &quot;-&quot;??_-;_-@_-"/>
    <numFmt numFmtId="166" formatCode="&quot;$&quot;#,##0.00"/>
    <numFmt numFmtId="167" formatCode="0.0%"/>
    <numFmt numFmtId="168" formatCode="_(&quot;$&quot;* #,##0_);_(&quot;$&quot;* \(#,##0\);_(&quot;$&quot;* &quot;-&quot;??_);_(@_)"/>
    <numFmt numFmtId="169" formatCode="&quot;$&quot;#,##0"/>
  </numFmts>
  <fonts count="3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Calibri"/>
      <family val="2"/>
      <scheme val="minor"/>
    </font>
    <font>
      <sz val="11"/>
      <color rgb="FF9C5700"/>
      <name val="Calibri"/>
      <family val="2"/>
      <scheme val="minor"/>
    </font>
    <font>
      <u/>
      <sz val="11"/>
      <color theme="10"/>
      <name val="Calibri"/>
      <family val="2"/>
      <scheme val="minor"/>
    </font>
    <font>
      <b/>
      <sz val="11"/>
      <color rgb="FF7030A0"/>
      <name val="Calibri"/>
      <family val="2"/>
      <scheme val="minor"/>
    </font>
    <font>
      <sz val="8"/>
      <name val="Calibri"/>
      <family val="2"/>
      <scheme val="minor"/>
    </font>
    <font>
      <sz val="11"/>
      <name val="Calibri"/>
      <family val="2"/>
      <scheme val="minor"/>
    </font>
    <font>
      <b/>
      <sz val="14"/>
      <color theme="0"/>
      <name val="Calibri"/>
      <family val="2"/>
      <scheme val="minor"/>
    </font>
    <font>
      <b/>
      <sz val="16"/>
      <color theme="0"/>
      <name val="Calibri"/>
      <family val="2"/>
      <scheme val="minor"/>
    </font>
    <font>
      <sz val="20"/>
      <color theme="0"/>
      <name val="Calibri"/>
      <family val="2"/>
      <scheme val="minor"/>
    </font>
    <font>
      <b/>
      <sz val="11"/>
      <name val="Calibri"/>
      <family val="2"/>
      <scheme val="minor"/>
    </font>
    <font>
      <b/>
      <sz val="11"/>
      <color theme="0"/>
      <name val="Arial"/>
      <family val="2"/>
    </font>
    <font>
      <sz val="14"/>
      <color theme="0"/>
      <name val="Calibri"/>
      <family val="2"/>
      <scheme val="minor"/>
    </font>
    <font>
      <b/>
      <sz val="20"/>
      <color theme="0"/>
      <name val="Calibri"/>
      <family val="2"/>
      <scheme val="minor"/>
    </font>
    <font>
      <b/>
      <u/>
      <sz val="11"/>
      <color theme="1"/>
      <name val="Calibri"/>
      <family val="2"/>
      <scheme val="minor"/>
    </font>
    <font>
      <b/>
      <sz val="11"/>
      <color rgb="FFFF0000"/>
      <name val="Calibri"/>
      <family val="2"/>
      <scheme val="minor"/>
    </font>
    <font>
      <b/>
      <i/>
      <sz val="11"/>
      <color theme="1"/>
      <name val="Calibri"/>
      <family val="2"/>
      <scheme val="minor"/>
    </font>
    <font>
      <u/>
      <sz val="11"/>
      <color theme="0"/>
      <name val="Calibri"/>
      <family val="2"/>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2" tint="-0.499984740745262"/>
        <bgColor indexed="64"/>
      </patternFill>
    </fill>
    <fill>
      <patternFill patternType="solid">
        <fgColor theme="1"/>
        <bgColor indexed="64"/>
      </patternFill>
    </fill>
    <fill>
      <patternFill patternType="solid">
        <fgColor rgb="FFFFFF00"/>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9" tint="0.79998168889431442"/>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9" tint="0.39997558519241921"/>
      </top>
      <bottom style="thin">
        <color theme="9" tint="0.39997558519241921"/>
      </bottom>
      <diagonal/>
    </border>
    <border>
      <left style="medium">
        <color rgb="FFDDDDDD"/>
      </left>
      <right style="medium">
        <color rgb="FFDDDDDD"/>
      </right>
      <top style="medium">
        <color rgb="FFDDDDDD"/>
      </top>
      <bottom style="medium">
        <color rgb="FFDDDDDD"/>
      </bottom>
      <diagonal/>
    </border>
    <border>
      <left style="medium">
        <color rgb="FFDDDDDD"/>
      </left>
      <right/>
      <top style="medium">
        <color rgb="FFDDDDDD"/>
      </top>
      <bottom style="medium">
        <color rgb="FFDDDDDD"/>
      </bottom>
      <diagonal/>
    </border>
    <border>
      <left/>
      <right/>
      <top style="medium">
        <color rgb="FFDDDDDD"/>
      </top>
      <bottom style="medium">
        <color rgb="FFDDDDDD"/>
      </bottom>
      <diagonal/>
    </border>
    <border>
      <left/>
      <right style="medium">
        <color rgb="FFDDDDDD"/>
      </right>
      <top style="medium">
        <color rgb="FFDDDDDD"/>
      </top>
      <bottom style="medium">
        <color rgb="FFDDDDDD"/>
      </bottom>
      <diagonal/>
    </border>
  </borders>
  <cellStyleXfs count="5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9"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20" fillId="0" borderId="0" applyNumberFormat="0" applyFill="0" applyBorder="0" applyAlignment="0" applyProtection="0"/>
    <xf numFmtId="44" fontId="1" fillId="0" borderId="0" applyFont="0" applyFill="0" applyBorder="0" applyAlignment="0" applyProtection="0"/>
  </cellStyleXfs>
  <cellXfs count="156">
    <xf numFmtId="0" fontId="0" fillId="0" borderId="0" xfId="0"/>
    <xf numFmtId="2" fontId="0" fillId="0" borderId="0" xfId="0" applyNumberFormat="1"/>
    <xf numFmtId="10" fontId="0" fillId="0" borderId="0" xfId="0" applyNumberFormat="1"/>
    <xf numFmtId="166" fontId="0" fillId="0" borderId="0" xfId="0" applyNumberFormat="1"/>
    <xf numFmtId="0" fontId="18" fillId="0" borderId="0" xfId="0" applyFont="1"/>
    <xf numFmtId="9" fontId="18" fillId="0" borderId="0" xfId="0" applyNumberFormat="1" applyFont="1"/>
    <xf numFmtId="167" fontId="18" fillId="0" borderId="0" xfId="0" applyNumberFormat="1" applyFont="1"/>
    <xf numFmtId="10" fontId="18" fillId="0" borderId="0" xfId="0" applyNumberFormat="1" applyFont="1"/>
    <xf numFmtId="1" fontId="18" fillId="0" borderId="0" xfId="0" applyNumberFormat="1" applyFont="1"/>
    <xf numFmtId="164" fontId="18" fillId="0" borderId="0" xfId="0" applyNumberFormat="1" applyFont="1"/>
    <xf numFmtId="10" fontId="0" fillId="0" borderId="0" xfId="42" applyNumberFormat="1" applyFont="1"/>
    <xf numFmtId="165" fontId="18" fillId="0" borderId="0" xfId="0" applyNumberFormat="1" applyFont="1"/>
    <xf numFmtId="0" fontId="16" fillId="0" borderId="0" xfId="0" applyFont="1"/>
    <xf numFmtId="168" fontId="0" fillId="0" borderId="0" xfId="0" applyNumberFormat="1"/>
    <xf numFmtId="166" fontId="18" fillId="0" borderId="0" xfId="0" applyNumberFormat="1" applyFont="1"/>
    <xf numFmtId="166" fontId="0" fillId="0" borderId="0" xfId="43" applyNumberFormat="1" applyFont="1"/>
    <xf numFmtId="168" fontId="18" fillId="0" borderId="0" xfId="0" applyNumberFormat="1" applyFont="1"/>
    <xf numFmtId="168" fontId="18" fillId="0" borderId="0" xfId="43" applyNumberFormat="1" applyFont="1"/>
    <xf numFmtId="169" fontId="18" fillId="0" borderId="0" xfId="0" applyNumberFormat="1" applyFont="1"/>
    <xf numFmtId="14" fontId="18" fillId="0" borderId="0" xfId="0" applyNumberFormat="1" applyFont="1"/>
    <xf numFmtId="0" fontId="0" fillId="34" borderId="0" xfId="0" applyFill="1"/>
    <xf numFmtId="10" fontId="0" fillId="34" borderId="0" xfId="0" applyNumberFormat="1" applyFill="1"/>
    <xf numFmtId="169" fontId="0" fillId="0" borderId="0" xfId="0" applyNumberFormat="1"/>
    <xf numFmtId="0" fontId="0" fillId="0" borderId="0" xfId="43" applyNumberFormat="1" applyFont="1"/>
    <xf numFmtId="0" fontId="0" fillId="35" borderId="11" xfId="0" applyFill="1" applyBorder="1" applyAlignment="1">
      <alignment horizontal="left" vertical="top"/>
    </xf>
    <xf numFmtId="6" fontId="0" fillId="35" borderId="11" xfId="0" applyNumberFormat="1" applyFill="1" applyBorder="1" applyAlignment="1">
      <alignment horizontal="right" vertical="top" wrapText="1"/>
    </xf>
    <xf numFmtId="2" fontId="0" fillId="34" borderId="0" xfId="0" applyNumberFormat="1" applyFill="1"/>
    <xf numFmtId="0" fontId="0" fillId="34" borderId="10" xfId="0" applyFill="1" applyBorder="1"/>
    <xf numFmtId="0" fontId="0" fillId="33" borderId="0" xfId="0" applyFill="1"/>
    <xf numFmtId="0" fontId="18" fillId="33" borderId="0" xfId="0" applyFont="1" applyFill="1"/>
    <xf numFmtId="169" fontId="0" fillId="0" borderId="0" xfId="43" applyNumberFormat="1" applyFont="1"/>
    <xf numFmtId="169" fontId="0" fillId="33" borderId="0" xfId="43" applyNumberFormat="1" applyFont="1" applyFill="1"/>
    <xf numFmtId="169" fontId="0" fillId="34" borderId="0" xfId="0" applyNumberFormat="1" applyFill="1"/>
    <xf numFmtId="44" fontId="0" fillId="0" borderId="0" xfId="0" applyNumberFormat="1"/>
    <xf numFmtId="0" fontId="0" fillId="36" borderId="0" xfId="0" applyFill="1"/>
    <xf numFmtId="0" fontId="16" fillId="36" borderId="0" xfId="0" applyFont="1" applyFill="1"/>
    <xf numFmtId="2" fontId="0" fillId="36" borderId="0" xfId="0" applyNumberFormat="1" applyFill="1"/>
    <xf numFmtId="169" fontId="16" fillId="36" borderId="0" xfId="0" applyNumberFormat="1" applyFont="1" applyFill="1"/>
    <xf numFmtId="0" fontId="0" fillId="33" borderId="0" xfId="43" applyNumberFormat="1" applyFont="1" applyFill="1"/>
    <xf numFmtId="10" fontId="0" fillId="34" borderId="0" xfId="43" applyNumberFormat="1" applyFont="1" applyFill="1"/>
    <xf numFmtId="169" fontId="16" fillId="0" borderId="0" xfId="43" applyNumberFormat="1" applyFont="1"/>
    <xf numFmtId="0" fontId="18" fillId="34" borderId="0" xfId="0" applyFont="1" applyFill="1"/>
    <xf numFmtId="167" fontId="0" fillId="0" borderId="0" xfId="0" applyNumberFormat="1"/>
    <xf numFmtId="0" fontId="16" fillId="34" borderId="0" xfId="0" applyFont="1" applyFill="1"/>
    <xf numFmtId="167" fontId="16" fillId="0" borderId="0" xfId="0" applyNumberFormat="1" applyFont="1"/>
    <xf numFmtId="166" fontId="16" fillId="0" borderId="0" xfId="0" applyNumberFormat="1" applyFont="1"/>
    <xf numFmtId="169" fontId="16" fillId="0" borderId="0" xfId="0" applyNumberFormat="1" applyFont="1"/>
    <xf numFmtId="44" fontId="16" fillId="0" borderId="0" xfId="0" applyNumberFormat="1" applyFont="1"/>
    <xf numFmtId="168" fontId="16" fillId="0" borderId="0" xfId="0" applyNumberFormat="1" applyFont="1"/>
    <xf numFmtId="0" fontId="21" fillId="37" borderId="0" xfId="0" applyFont="1" applyFill="1"/>
    <xf numFmtId="0" fontId="0" fillId="38" borderId="0" xfId="0" applyFill="1"/>
    <xf numFmtId="6" fontId="18" fillId="33" borderId="0" xfId="0" applyNumberFormat="1" applyFont="1" applyFill="1"/>
    <xf numFmtId="6" fontId="18" fillId="0" borderId="0" xfId="0" applyNumberFormat="1" applyFont="1"/>
    <xf numFmtId="166" fontId="0" fillId="35" borderId="11" xfId="0" applyNumberFormat="1" applyFill="1" applyBorder="1" applyAlignment="1">
      <alignment horizontal="right" vertical="top" wrapText="1"/>
    </xf>
    <xf numFmtId="0" fontId="18" fillId="41" borderId="0" xfId="0" applyFont="1" applyFill="1"/>
    <xf numFmtId="166" fontId="18" fillId="33" borderId="0" xfId="0" applyNumberFormat="1" applyFont="1" applyFill="1"/>
    <xf numFmtId="9" fontId="0" fillId="35" borderId="11" xfId="0" applyNumberFormat="1" applyFill="1" applyBorder="1" applyAlignment="1">
      <alignment horizontal="right" vertical="top" wrapText="1"/>
    </xf>
    <xf numFmtId="0" fontId="13" fillId="39" borderId="0" xfId="0" applyFont="1" applyFill="1"/>
    <xf numFmtId="167" fontId="23" fillId="0" borderId="0" xfId="0" applyNumberFormat="1" applyFont="1"/>
    <xf numFmtId="10" fontId="18" fillId="39" borderId="0" xfId="0" applyNumberFormat="1" applyFont="1" applyFill="1"/>
    <xf numFmtId="167" fontId="18" fillId="39" borderId="0" xfId="0" applyNumberFormat="1" applyFont="1" applyFill="1"/>
    <xf numFmtId="10" fontId="0" fillId="39" borderId="0" xfId="43" applyNumberFormat="1" applyFont="1" applyFill="1"/>
    <xf numFmtId="0" fontId="18" fillId="39" borderId="0" xfId="0" applyFont="1" applyFill="1"/>
    <xf numFmtId="166" fontId="18" fillId="39" borderId="0" xfId="0" applyNumberFormat="1" applyFont="1" applyFill="1"/>
    <xf numFmtId="168" fontId="18" fillId="39" borderId="0" xfId="0" applyNumberFormat="1" applyFont="1" applyFill="1"/>
    <xf numFmtId="168" fontId="18" fillId="39" borderId="0" xfId="43" applyNumberFormat="1" applyFont="1" applyFill="1"/>
    <xf numFmtId="169" fontId="18" fillId="39" borderId="0" xfId="0" applyNumberFormat="1" applyFont="1" applyFill="1"/>
    <xf numFmtId="167" fontId="24" fillId="39" borderId="0" xfId="0" applyNumberFormat="1" applyFont="1" applyFill="1"/>
    <xf numFmtId="0" fontId="24" fillId="39" borderId="0" xfId="0" applyFont="1" applyFill="1"/>
    <xf numFmtId="0" fontId="24" fillId="39" borderId="0" xfId="0" applyFont="1" applyFill="1" applyAlignment="1">
      <alignment horizontal="center"/>
    </xf>
    <xf numFmtId="9" fontId="24" fillId="39" borderId="0" xfId="0" applyNumberFormat="1" applyFont="1" applyFill="1" applyAlignment="1">
      <alignment horizontal="center"/>
    </xf>
    <xf numFmtId="167" fontId="25" fillId="39" borderId="0" xfId="0" applyNumberFormat="1" applyFont="1" applyFill="1" applyAlignment="1">
      <alignment horizontal="center"/>
    </xf>
    <xf numFmtId="0" fontId="0" fillId="39" borderId="0" xfId="0" applyFill="1"/>
    <xf numFmtId="9" fontId="18" fillId="39" borderId="0" xfId="0" applyNumberFormat="1" applyFont="1" applyFill="1"/>
    <xf numFmtId="166" fontId="16" fillId="42" borderId="0" xfId="43" applyNumberFormat="1" applyFont="1" applyFill="1"/>
    <xf numFmtId="167" fontId="27" fillId="0" borderId="0" xfId="0" applyNumberFormat="1" applyFont="1"/>
    <xf numFmtId="10" fontId="0" fillId="36" borderId="0" xfId="42" applyNumberFormat="1" applyFont="1" applyFill="1"/>
    <xf numFmtId="0" fontId="0" fillId="34" borderId="0" xfId="43" applyNumberFormat="1" applyFont="1" applyFill="1">
      <extLst>
        <ext xmlns:xfpb="http://schemas.microsoft.com/office/spreadsheetml/2022/featurepropertybag" uri="{C7286773-470A-42A8-94C5-96B5CB345126}">
          <xfpb:xfComplement i="0"/>
        </ext>
      </extLst>
    </xf>
    <xf numFmtId="9" fontId="0" fillId="0" borderId="0" xfId="0" applyNumberFormat="1"/>
    <xf numFmtId="9" fontId="16" fillId="36" borderId="0" xfId="0" applyNumberFormat="1" applyFont="1" applyFill="1"/>
    <xf numFmtId="9" fontId="0" fillId="0" borderId="0" xfId="42" applyFont="1"/>
    <xf numFmtId="169" fontId="0" fillId="33" borderId="0" xfId="0" applyNumberFormat="1" applyFill="1"/>
    <xf numFmtId="169" fontId="0" fillId="39" borderId="0" xfId="0" applyNumberFormat="1" applyFill="1"/>
    <xf numFmtId="169" fontId="0" fillId="38" borderId="0" xfId="0" applyNumberFormat="1" applyFill="1"/>
    <xf numFmtId="0" fontId="16" fillId="0" borderId="0" xfId="0" applyFont="1" applyAlignment="1">
      <alignment horizontal="right"/>
    </xf>
    <xf numFmtId="0" fontId="18" fillId="33" borderId="0" xfId="0" applyFont="1" applyFill="1" applyAlignment="1">
      <alignment horizontal="right"/>
    </xf>
    <xf numFmtId="0" fontId="18" fillId="0" borderId="0" xfId="0" applyFont="1" applyAlignment="1">
      <alignment horizontal="right"/>
    </xf>
    <xf numFmtId="0" fontId="0" fillId="39" borderId="0" xfId="0" applyFill="1" applyAlignment="1">
      <alignment horizontal="right"/>
    </xf>
    <xf numFmtId="0" fontId="0" fillId="0" borderId="0" xfId="0" applyAlignment="1">
      <alignment horizontal="right"/>
    </xf>
    <xf numFmtId="166" fontId="29" fillId="39" borderId="0" xfId="0" applyNumberFormat="1" applyFont="1" applyFill="1"/>
    <xf numFmtId="0" fontId="29" fillId="39" borderId="0" xfId="0" applyFont="1" applyFill="1"/>
    <xf numFmtId="44" fontId="29" fillId="39" borderId="0" xfId="0" applyNumberFormat="1" applyFont="1" applyFill="1"/>
    <xf numFmtId="0" fontId="16" fillId="36" borderId="0" xfId="0" applyFont="1" applyFill="1" applyAlignment="1">
      <alignment vertical="center" wrapText="1"/>
    </xf>
    <xf numFmtId="0" fontId="23" fillId="36" borderId="0" xfId="51" applyFont="1" applyFill="1" applyAlignment="1">
      <alignment horizontal="left" vertical="center" wrapText="1"/>
    </xf>
    <xf numFmtId="0" fontId="23" fillId="36" borderId="0" xfId="0" applyFont="1" applyFill="1" applyAlignment="1">
      <alignment horizontal="left"/>
    </xf>
    <xf numFmtId="0" fontId="18" fillId="36" borderId="0" xfId="0" applyFont="1" applyFill="1"/>
    <xf numFmtId="169" fontId="13" fillId="39" borderId="0" xfId="0" applyNumberFormat="1" applyFont="1" applyFill="1"/>
    <xf numFmtId="168" fontId="13" fillId="39" borderId="0" xfId="0" applyNumberFormat="1" applyFont="1" applyFill="1"/>
    <xf numFmtId="168" fontId="18" fillId="33" borderId="0" xfId="0" applyNumberFormat="1" applyFont="1" applyFill="1"/>
    <xf numFmtId="168" fontId="0" fillId="34" borderId="0" xfId="0" applyNumberFormat="1" applyFill="1"/>
    <xf numFmtId="166" fontId="0" fillId="41" borderId="0" xfId="43" applyNumberFormat="1" applyFont="1" applyFill="1"/>
    <xf numFmtId="169" fontId="18" fillId="41" borderId="0" xfId="0" applyNumberFormat="1" applyFont="1" applyFill="1"/>
    <xf numFmtId="169" fontId="18" fillId="33" borderId="0" xfId="0" applyNumberFormat="1" applyFont="1" applyFill="1"/>
    <xf numFmtId="167" fontId="24" fillId="0" borderId="0" xfId="0" applyNumberFormat="1" applyFont="1"/>
    <xf numFmtId="169" fontId="0" fillId="0" borderId="0" xfId="52" applyNumberFormat="1" applyFont="1"/>
    <xf numFmtId="0" fontId="0" fillId="38" borderId="0" xfId="0" applyFill="1">
      <extLst>
        <ext xmlns:xfpb="http://schemas.microsoft.com/office/spreadsheetml/2022/featurepropertybag" uri="{C7286773-470A-42A8-94C5-96B5CB345126}">
          <xfpb:xfComplement i="0"/>
        </ext>
      </extLst>
    </xf>
    <xf numFmtId="0" fontId="0" fillId="0" borderId="0" xfId="0">
      <extLst>
        <ext xmlns:xfpb="http://schemas.microsoft.com/office/spreadsheetml/2022/featurepropertybag" uri="{C7286773-470A-42A8-94C5-96B5CB345126}">
          <xfpb:xfComplement i="0"/>
        </ext>
      </extLst>
    </xf>
    <xf numFmtId="1" fontId="0" fillId="33" borderId="0" xfId="43" applyNumberFormat="1" applyFont="1" applyFill="1"/>
    <xf numFmtId="1" fontId="18" fillId="33" borderId="0" xfId="0" applyNumberFormat="1" applyFont="1" applyFill="1"/>
    <xf numFmtId="1" fontId="0" fillId="0" borderId="0" xfId="43" applyNumberFormat="1" applyFont="1"/>
    <xf numFmtId="1" fontId="0" fillId="0" borderId="0" xfId="0" applyNumberFormat="1"/>
    <xf numFmtId="0" fontId="16" fillId="39" borderId="0" xfId="0" applyFont="1" applyFill="1"/>
    <xf numFmtId="166" fontId="0" fillId="39" borderId="0" xfId="0" applyNumberFormat="1" applyFill="1"/>
    <xf numFmtId="10" fontId="16" fillId="36" borderId="0" xfId="42" applyNumberFormat="1" applyFont="1" applyFill="1"/>
    <xf numFmtId="1" fontId="18" fillId="39" borderId="0" xfId="0" applyNumberFormat="1" applyFont="1" applyFill="1"/>
    <xf numFmtId="44" fontId="18" fillId="39" borderId="0" xfId="0" applyNumberFormat="1" applyFont="1" applyFill="1"/>
    <xf numFmtId="0" fontId="0" fillId="39" borderId="0" xfId="43" applyNumberFormat="1" applyFont="1" applyFill="1"/>
    <xf numFmtId="6" fontId="0" fillId="39" borderId="11" xfId="0" applyNumberFormat="1" applyFill="1" applyBorder="1" applyAlignment="1">
      <alignment horizontal="right" vertical="top" wrapText="1"/>
    </xf>
    <xf numFmtId="167" fontId="26" fillId="39" borderId="0" xfId="0" applyNumberFormat="1" applyFont="1" applyFill="1" applyAlignment="1">
      <alignment vertical="center"/>
    </xf>
    <xf numFmtId="0" fontId="30" fillId="39" borderId="0" xfId="43" applyNumberFormat="1" applyFont="1" applyFill="1" applyAlignment="1">
      <alignment vertical="center"/>
    </xf>
    <xf numFmtId="0" fontId="26" fillId="39" borderId="0" xfId="43" applyNumberFormat="1" applyFont="1" applyFill="1" applyAlignment="1">
      <alignment vertical="center"/>
    </xf>
    <xf numFmtId="0" fontId="0" fillId="39" borderId="0" xfId="43" applyNumberFormat="1" applyFont="1" applyFill="1" applyAlignment="1">
      <alignment vertical="center"/>
    </xf>
    <xf numFmtId="167" fontId="13" fillId="39" borderId="0" xfId="0" applyNumberFormat="1" applyFont="1" applyFill="1" applyAlignment="1">
      <alignment vertical="center"/>
    </xf>
    <xf numFmtId="0" fontId="18" fillId="39" borderId="0" xfId="0" applyFont="1" applyFill="1" applyAlignment="1">
      <alignment vertical="center"/>
    </xf>
    <xf numFmtId="166" fontId="18" fillId="39" borderId="0" xfId="0" applyNumberFormat="1" applyFont="1" applyFill="1" applyAlignment="1">
      <alignment vertical="center"/>
    </xf>
    <xf numFmtId="10" fontId="18" fillId="39" borderId="0" xfId="0" applyNumberFormat="1" applyFont="1" applyFill="1" applyAlignment="1">
      <alignment vertical="center"/>
    </xf>
    <xf numFmtId="168" fontId="18" fillId="39" borderId="0" xfId="0" applyNumberFormat="1" applyFont="1" applyFill="1" applyAlignment="1">
      <alignment vertical="center"/>
    </xf>
    <xf numFmtId="168" fontId="18" fillId="39" borderId="0" xfId="43" applyNumberFormat="1" applyFont="1" applyFill="1" applyAlignment="1">
      <alignment vertical="center"/>
    </xf>
    <xf numFmtId="169" fontId="18" fillId="39" borderId="0" xfId="0" applyNumberFormat="1" applyFont="1" applyFill="1" applyAlignment="1">
      <alignment vertical="center"/>
    </xf>
    <xf numFmtId="169" fontId="0" fillId="39" borderId="0" xfId="43" applyNumberFormat="1" applyFont="1" applyFill="1"/>
    <xf numFmtId="6" fontId="0" fillId="39" borderId="0" xfId="0" applyNumberFormat="1" applyFill="1"/>
    <xf numFmtId="1" fontId="16" fillId="43" borderId="0" xfId="0" applyNumberFormat="1" applyFont="1" applyFill="1"/>
    <xf numFmtId="9" fontId="0" fillId="43" borderId="0" xfId="0" applyNumberFormat="1" applyFill="1"/>
    <xf numFmtId="6" fontId="18" fillId="43" borderId="0" xfId="0" applyNumberFormat="1" applyFont="1" applyFill="1"/>
    <xf numFmtId="1" fontId="18" fillId="43" borderId="0" xfId="0" applyNumberFormat="1" applyFont="1" applyFill="1"/>
    <xf numFmtId="0" fontId="18" fillId="43" borderId="0" xfId="0" applyFont="1" applyFill="1"/>
    <xf numFmtId="167" fontId="31" fillId="0" borderId="0" xfId="0" applyNumberFormat="1" applyFont="1"/>
    <xf numFmtId="9" fontId="0" fillId="44" borderId="0" xfId="0" applyNumberFormat="1" applyFill="1"/>
    <xf numFmtId="167" fontId="18" fillId="44" borderId="0" xfId="0" applyNumberFormat="1" applyFont="1" applyFill="1"/>
    <xf numFmtId="0" fontId="0" fillId="44" borderId="0" xfId="43" applyNumberFormat="1" applyFont="1" applyFill="1">
      <extLst>
        <ext xmlns:xfpb="http://schemas.microsoft.com/office/spreadsheetml/2022/featurepropertybag" uri="{C7286773-470A-42A8-94C5-96B5CB345126}">
          <xfpb:xfComplement i="0"/>
        </ext>
      </extLst>
    </xf>
    <xf numFmtId="167" fontId="0" fillId="44" borderId="0" xfId="0" applyNumberFormat="1" applyFill="1">
      <extLst>
        <ext xmlns:xfpb="http://schemas.microsoft.com/office/spreadsheetml/2022/featurepropertybag" uri="{C7286773-470A-42A8-94C5-96B5CB345126}">
          <xfpb:xfComplement i="0"/>
        </ext>
      </extLst>
    </xf>
    <xf numFmtId="9" fontId="0" fillId="44" borderId="0" xfId="43" applyNumberFormat="1" applyFont="1" applyFill="1"/>
    <xf numFmtId="0" fontId="32" fillId="40" borderId="0" xfId="43" applyNumberFormat="1" applyFont="1" applyFill="1"/>
    <xf numFmtId="0" fontId="0" fillId="33" borderId="0" xfId="0" applyFill="1">
      <extLst>
        <ext xmlns:xfpb="http://schemas.microsoft.com/office/spreadsheetml/2022/featurepropertybag" uri="{C7286773-470A-42A8-94C5-96B5CB345126}">
          <xfpb:xfComplement i="0"/>
        </ext>
      </extLst>
    </xf>
    <xf numFmtId="0" fontId="33" fillId="0" borderId="0" xfId="0" applyFont="1"/>
    <xf numFmtId="166" fontId="0" fillId="34" borderId="0" xfId="0" applyNumberFormat="1" applyFill="1"/>
    <xf numFmtId="166" fontId="18" fillId="34" borderId="0" xfId="0" applyNumberFormat="1" applyFont="1" applyFill="1"/>
    <xf numFmtId="10" fontId="18" fillId="34" borderId="0" xfId="0" applyNumberFormat="1" applyFont="1" applyFill="1"/>
    <xf numFmtId="168" fontId="18" fillId="34" borderId="0" xfId="0" applyNumberFormat="1" applyFont="1" applyFill="1"/>
    <xf numFmtId="168" fontId="18" fillId="34" borderId="0" xfId="43" applyNumberFormat="1" applyFont="1" applyFill="1"/>
    <xf numFmtId="169" fontId="18" fillId="34" borderId="0" xfId="0" applyNumberFormat="1" applyFont="1" applyFill="1"/>
    <xf numFmtId="10" fontId="34" fillId="39" borderId="0" xfId="43" applyNumberFormat="1" applyFont="1" applyFill="1"/>
    <xf numFmtId="0" fontId="0" fillId="39" borderId="0" xfId="0" applyFill="1" applyAlignment="1">
      <alignment wrapText="1"/>
    </xf>
    <xf numFmtId="0" fontId="28" fillId="39" borderId="12" xfId="0" applyFont="1" applyFill="1" applyBorder="1" applyAlignment="1">
      <alignment horizontal="left" vertical="top" wrapText="1"/>
    </xf>
    <xf numFmtId="0" fontId="28" fillId="39" borderId="13" xfId="0" applyFont="1" applyFill="1" applyBorder="1" applyAlignment="1">
      <alignment horizontal="left" vertical="top" wrapText="1"/>
    </xf>
    <xf numFmtId="0" fontId="28" fillId="39" borderId="14" xfId="0" applyFont="1" applyFill="1" applyBorder="1" applyAlignment="1">
      <alignment horizontal="left" vertical="top" wrapText="1"/>
    </xf>
  </cellXfs>
  <cellStyles count="5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1 2" xfId="45" xr:uid="{6395AA06-AB60-45C7-9C6C-389A9889338F}"/>
    <cellStyle name="60% - Accent2" xfId="25" builtinId="36" customBuiltin="1"/>
    <cellStyle name="60% - Accent2 2" xfId="46" xr:uid="{042153AE-5199-47DD-9591-82BD55CCF624}"/>
    <cellStyle name="60% - Accent3" xfId="29" builtinId="40" customBuiltin="1"/>
    <cellStyle name="60% - Accent3 2" xfId="47" xr:uid="{A9A461BF-B71D-4D17-836B-F59E479C8EDD}"/>
    <cellStyle name="60% - Accent4" xfId="33" builtinId="44" customBuiltin="1"/>
    <cellStyle name="60% - Accent4 2" xfId="48" xr:uid="{06F53061-332B-49A8-B14D-85127C54F1F2}"/>
    <cellStyle name="60% - Accent5" xfId="37" builtinId="48" customBuiltin="1"/>
    <cellStyle name="60% - Accent5 2" xfId="49" xr:uid="{29CBCF3B-CE4E-4F6F-A27F-A0AD4E6D7375}"/>
    <cellStyle name="60% - Accent6" xfId="41" builtinId="52" customBuiltin="1"/>
    <cellStyle name="60% - Accent6 2" xfId="50" xr:uid="{802E5A44-4AD6-4986-B60B-65674033728C}"/>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3" builtinId="3"/>
    <cellStyle name="Currency" xfId="52" builtinId="4"/>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51" builtinId="8"/>
    <cellStyle name="Input" xfId="9" builtinId="20" customBuiltin="1"/>
    <cellStyle name="Linked Cell" xfId="12" builtinId="24" customBuiltin="1"/>
    <cellStyle name="Neutral" xfId="8" builtinId="28" customBuiltin="1"/>
    <cellStyle name="Neutral 2" xfId="44" xr:uid="{4E23D4C8-8320-4F28-8DF2-E066944BE79D}"/>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13">
    <dxf>
      <font>
        <b/>
        <i val="0"/>
        <strike val="0"/>
        <color rgb="FF7030A0"/>
      </font>
      <fill>
        <patternFill>
          <bgColor theme="8" tint="0.79998168889431442"/>
        </patternFill>
      </fill>
    </dxf>
    <dxf>
      <font>
        <b/>
        <i val="0"/>
        <strike val="0"/>
        <color rgb="FF0070C0"/>
      </font>
      <fill>
        <patternFill>
          <bgColor theme="4" tint="0.79998168889431442"/>
        </patternFill>
      </fill>
    </dxf>
    <dxf>
      <font>
        <b val="0"/>
        <i val="0"/>
        <strike val="0"/>
        <color theme="1" tint="0.499984740745262"/>
      </font>
      <fill>
        <patternFill>
          <bgColor theme="2"/>
        </patternFill>
      </fill>
    </dxf>
    <dxf>
      <font>
        <b/>
        <i val="0"/>
        <color rgb="FFFF0000"/>
      </font>
      <fill>
        <patternFill>
          <bgColor rgb="FFFFFF00"/>
        </patternFill>
      </fill>
    </dxf>
    <dxf>
      <fill>
        <patternFill>
          <bgColor theme="5" tint="0.79998168889431442"/>
        </patternFill>
      </fill>
    </dxf>
    <dxf>
      <fill>
        <patternFill>
          <bgColor theme="7" tint="0.79998168889431442"/>
        </patternFill>
      </fill>
    </dxf>
    <dxf>
      <fill>
        <patternFill>
          <bgColor theme="1" tint="0.34998626667073579"/>
        </patternFill>
      </fill>
    </dxf>
    <dxf>
      <fill>
        <patternFill>
          <bgColor theme="7" tint="0.79998168889431442"/>
        </patternFill>
      </fill>
    </dxf>
    <dxf>
      <fill>
        <patternFill>
          <bgColor theme="1" tint="0.34998626667073579"/>
        </patternFill>
      </fill>
    </dxf>
    <dxf>
      <fill>
        <patternFill>
          <bgColor theme="7" tint="0.79998168889431442"/>
        </patternFill>
      </fill>
    </dxf>
    <dxf>
      <fill>
        <patternFill>
          <bgColor theme="1" tint="0.34998626667073579"/>
        </patternFill>
      </fill>
    </dxf>
    <dxf>
      <fill>
        <patternFill>
          <bgColor theme="7" tint="0.79998168889431442"/>
        </patternFill>
      </fill>
    </dxf>
    <dxf>
      <fill>
        <patternFill>
          <bgColor theme="1" tint="0.499984740745262"/>
        </patternFill>
      </fill>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powerPivotData" Target="model/item.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kumimoji="0" lang="en-US" sz="1800" b="0" i="0" u="none" strike="noStrike" kern="0" cap="none" spc="0" normalizeH="0" baseline="0" noProof="0">
                <a:ln>
                  <a:noFill/>
                </a:ln>
                <a:solidFill>
                  <a:sysClr val="windowText" lastClr="000000"/>
                </a:solidFill>
                <a:effectLst/>
                <a:uLnTx/>
                <a:uFillTx/>
              </a:rPr>
              <a:t>Portfolio Balance vs </a:t>
            </a:r>
            <a:r>
              <a:rPr lang="en-US" sz="1800"/>
              <a:t>Annual Income</a:t>
            </a:r>
            <a:r>
              <a:rPr lang="en-US" sz="1800" baseline="0"/>
              <a:t> and Expense</a:t>
            </a:r>
            <a:endParaRPr lang="en-US" sz="18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SpendingRoadMap!$D$1</c:f>
              <c:strCache>
                <c:ptCount val="1"/>
                <c:pt idx="0">
                  <c:v> Total Income</c:v>
                </c:pt>
              </c:strCache>
            </c:strRef>
          </c:tx>
          <c:spPr>
            <a:solidFill>
              <a:schemeClr val="accent1"/>
            </a:solidFill>
            <a:ln>
              <a:noFill/>
            </a:ln>
            <a:effectLst/>
          </c:spPr>
          <c:invertIfNegative val="0"/>
          <c:cat>
            <c:numRef>
              <c:extLst>
                <c:ext xmlns:c15="http://schemas.microsoft.com/office/drawing/2012/chart" uri="{02D57815-91ED-43cb-92C2-25804820EDAC}">
                  <c15:fullRef>
                    <c15:sqref>SpendingRoadMap!$B$2:$B$100</c15:sqref>
                  </c15:fullRef>
                </c:ext>
              </c:extLst>
              <c:f>SpendingRoadMap!$B$2:$B$47</c:f>
              <c:numCache>
                <c:formatCode>General</c:formatCode>
                <c:ptCount val="46"/>
                <c:pt idx="0">
                  <c:v>55</c:v>
                </c:pt>
                <c:pt idx="1">
                  <c:v>56</c:v>
                </c:pt>
                <c:pt idx="2">
                  <c:v>57</c:v>
                </c:pt>
                <c:pt idx="3">
                  <c:v>58</c:v>
                </c:pt>
                <c:pt idx="4">
                  <c:v>59</c:v>
                </c:pt>
                <c:pt idx="5">
                  <c:v>60</c:v>
                </c:pt>
                <c:pt idx="6">
                  <c:v>61</c:v>
                </c:pt>
                <c:pt idx="7">
                  <c:v>62</c:v>
                </c:pt>
                <c:pt idx="8">
                  <c:v>63</c:v>
                </c:pt>
                <c:pt idx="9">
                  <c:v>64</c:v>
                </c:pt>
                <c:pt idx="10">
                  <c:v>65</c:v>
                </c:pt>
                <c:pt idx="11">
                  <c:v>66</c:v>
                </c:pt>
                <c:pt idx="12">
                  <c:v>67</c:v>
                </c:pt>
                <c:pt idx="13">
                  <c:v>68</c:v>
                </c:pt>
                <c:pt idx="14">
                  <c:v>69</c:v>
                </c:pt>
                <c:pt idx="15">
                  <c:v>70</c:v>
                </c:pt>
                <c:pt idx="16">
                  <c:v>71</c:v>
                </c:pt>
                <c:pt idx="17">
                  <c:v>72</c:v>
                </c:pt>
                <c:pt idx="18">
                  <c:v>73</c:v>
                </c:pt>
                <c:pt idx="19">
                  <c:v>74</c:v>
                </c:pt>
                <c:pt idx="20">
                  <c:v>75</c:v>
                </c:pt>
                <c:pt idx="21">
                  <c:v>76</c:v>
                </c:pt>
                <c:pt idx="22">
                  <c:v>77</c:v>
                </c:pt>
                <c:pt idx="23">
                  <c:v>78</c:v>
                </c:pt>
                <c:pt idx="24">
                  <c:v>79</c:v>
                </c:pt>
                <c:pt idx="25">
                  <c:v>80</c:v>
                </c:pt>
                <c:pt idx="26">
                  <c:v>81</c:v>
                </c:pt>
                <c:pt idx="27">
                  <c:v>82</c:v>
                </c:pt>
                <c:pt idx="28">
                  <c:v>83</c:v>
                </c:pt>
                <c:pt idx="29">
                  <c:v>84</c:v>
                </c:pt>
                <c:pt idx="30">
                  <c:v>85</c:v>
                </c:pt>
                <c:pt idx="31">
                  <c:v>86</c:v>
                </c:pt>
                <c:pt idx="32">
                  <c:v>87</c:v>
                </c:pt>
                <c:pt idx="33">
                  <c:v>88</c:v>
                </c:pt>
                <c:pt idx="34">
                  <c:v>89</c:v>
                </c:pt>
                <c:pt idx="35">
                  <c:v>90</c:v>
                </c:pt>
                <c:pt idx="36">
                  <c:v>91</c:v>
                </c:pt>
                <c:pt idx="37">
                  <c:v>92</c:v>
                </c:pt>
                <c:pt idx="38">
                  <c:v>93</c:v>
                </c:pt>
                <c:pt idx="39">
                  <c:v>94</c:v>
                </c:pt>
                <c:pt idx="40">
                  <c:v>95</c:v>
                </c:pt>
                <c:pt idx="41">
                  <c:v>96</c:v>
                </c:pt>
                <c:pt idx="42">
                  <c:v>97</c:v>
                </c:pt>
                <c:pt idx="43">
                  <c:v>98</c:v>
                </c:pt>
                <c:pt idx="44">
                  <c:v>99</c:v>
                </c:pt>
                <c:pt idx="45">
                  <c:v>100</c:v>
                </c:pt>
              </c:numCache>
            </c:numRef>
          </c:cat>
          <c:val>
            <c:numRef>
              <c:extLst>
                <c:ext xmlns:c15="http://schemas.microsoft.com/office/drawing/2012/chart" uri="{02D57815-91ED-43cb-92C2-25804820EDAC}">
                  <c15:fullRef>
                    <c15:sqref>SpendingRoadMap!$D$2:$D$100</c15:sqref>
                  </c15:fullRef>
                </c:ext>
              </c:extLst>
              <c:f>SpendingRoadMap!$D$2:$D$47</c:f>
              <c:numCache>
                <c:formatCode>"$"#,##0</c:formatCode>
                <c:ptCount val="46"/>
                <c:pt idx="0">
                  <c:v>161612.5</c:v>
                </c:pt>
                <c:pt idx="1">
                  <c:v>161612.5</c:v>
                </c:pt>
                <c:pt idx="2">
                  <c:v>161612.5</c:v>
                </c:pt>
                <c:pt idx="3">
                  <c:v>161612.5</c:v>
                </c:pt>
                <c:pt idx="4">
                  <c:v>161612.5</c:v>
                </c:pt>
                <c:pt idx="5">
                  <c:v>161612.5</c:v>
                </c:pt>
                <c:pt idx="6">
                  <c:v>161612.5</c:v>
                </c:pt>
                <c:pt idx="7">
                  <c:v>161612.5</c:v>
                </c:pt>
                <c:pt idx="8">
                  <c:v>161612.5</c:v>
                </c:pt>
                <c:pt idx="9">
                  <c:v>161612.5</c:v>
                </c:pt>
                <c:pt idx="10">
                  <c:v>26880</c:v>
                </c:pt>
                <c:pt idx="11">
                  <c:v>26880</c:v>
                </c:pt>
                <c:pt idx="12">
                  <c:v>26880</c:v>
                </c:pt>
                <c:pt idx="13">
                  <c:v>26880</c:v>
                </c:pt>
                <c:pt idx="14">
                  <c:v>26880</c:v>
                </c:pt>
                <c:pt idx="15">
                  <c:v>26880</c:v>
                </c:pt>
                <c:pt idx="16">
                  <c:v>26880</c:v>
                </c:pt>
                <c:pt idx="17">
                  <c:v>26880</c:v>
                </c:pt>
                <c:pt idx="18">
                  <c:v>26880</c:v>
                </c:pt>
                <c:pt idx="19">
                  <c:v>26880</c:v>
                </c:pt>
                <c:pt idx="20">
                  <c:v>26880</c:v>
                </c:pt>
                <c:pt idx="21">
                  <c:v>26880</c:v>
                </c:pt>
                <c:pt idx="22">
                  <c:v>26880</c:v>
                </c:pt>
                <c:pt idx="23">
                  <c:v>26880</c:v>
                </c:pt>
                <c:pt idx="24">
                  <c:v>26880</c:v>
                </c:pt>
                <c:pt idx="25">
                  <c:v>26880</c:v>
                </c:pt>
                <c:pt idx="26">
                  <c:v>26880</c:v>
                </c:pt>
                <c:pt idx="27">
                  <c:v>26880</c:v>
                </c:pt>
                <c:pt idx="28">
                  <c:v>26880</c:v>
                </c:pt>
                <c:pt idx="29">
                  <c:v>26880</c:v>
                </c:pt>
                <c:pt idx="30">
                  <c:v>26880</c:v>
                </c:pt>
                <c:pt idx="31">
                  <c:v>26880</c:v>
                </c:pt>
                <c:pt idx="32">
                  <c:v>26880</c:v>
                </c:pt>
                <c:pt idx="33">
                  <c:v>26880</c:v>
                </c:pt>
                <c:pt idx="34">
                  <c:v>26880</c:v>
                </c:pt>
                <c:pt idx="35">
                  <c:v>26880</c:v>
                </c:pt>
                <c:pt idx="36">
                  <c:v>26880</c:v>
                </c:pt>
                <c:pt idx="37">
                  <c:v>26880</c:v>
                </c:pt>
                <c:pt idx="38">
                  <c:v>26880</c:v>
                </c:pt>
                <c:pt idx="39">
                  <c:v>26880</c:v>
                </c:pt>
                <c:pt idx="40">
                  <c:v>26880</c:v>
                </c:pt>
                <c:pt idx="41">
                  <c:v>26880</c:v>
                </c:pt>
                <c:pt idx="42">
                  <c:v>26880</c:v>
                </c:pt>
                <c:pt idx="43">
                  <c:v>26880</c:v>
                </c:pt>
                <c:pt idx="44">
                  <c:v>26880</c:v>
                </c:pt>
                <c:pt idx="45">
                  <c:v>26880</c:v>
                </c:pt>
              </c:numCache>
            </c:numRef>
          </c:val>
          <c:extLst>
            <c:ext xmlns:c16="http://schemas.microsoft.com/office/drawing/2014/chart" uri="{C3380CC4-5D6E-409C-BE32-E72D297353CC}">
              <c16:uniqueId val="{00000000-819C-4010-928E-DD3F0B2A0DAC}"/>
            </c:ext>
          </c:extLst>
        </c:ser>
        <c:ser>
          <c:idx val="1"/>
          <c:order val="1"/>
          <c:tx>
            <c:strRef>
              <c:f>SpendingRoadMap!$E$1</c:f>
              <c:strCache>
                <c:ptCount val="1"/>
                <c:pt idx="0">
                  <c:v> Total Expense</c:v>
                </c:pt>
              </c:strCache>
            </c:strRef>
          </c:tx>
          <c:spPr>
            <a:solidFill>
              <a:schemeClr val="accent2"/>
            </a:solidFill>
            <a:ln>
              <a:noFill/>
            </a:ln>
            <a:effectLst/>
          </c:spPr>
          <c:invertIfNegative val="0"/>
          <c:cat>
            <c:numRef>
              <c:extLst>
                <c:ext xmlns:c15="http://schemas.microsoft.com/office/drawing/2012/chart" uri="{02D57815-91ED-43cb-92C2-25804820EDAC}">
                  <c15:fullRef>
                    <c15:sqref>SpendingRoadMap!$B$2:$B$100</c15:sqref>
                  </c15:fullRef>
                </c:ext>
              </c:extLst>
              <c:f>SpendingRoadMap!$B$2:$B$47</c:f>
              <c:numCache>
                <c:formatCode>General</c:formatCode>
                <c:ptCount val="46"/>
                <c:pt idx="0">
                  <c:v>55</c:v>
                </c:pt>
                <c:pt idx="1">
                  <c:v>56</c:v>
                </c:pt>
                <c:pt idx="2">
                  <c:v>57</c:v>
                </c:pt>
                <c:pt idx="3">
                  <c:v>58</c:v>
                </c:pt>
                <c:pt idx="4">
                  <c:v>59</c:v>
                </c:pt>
                <c:pt idx="5">
                  <c:v>60</c:v>
                </c:pt>
                <c:pt idx="6">
                  <c:v>61</c:v>
                </c:pt>
                <c:pt idx="7">
                  <c:v>62</c:v>
                </c:pt>
                <c:pt idx="8">
                  <c:v>63</c:v>
                </c:pt>
                <c:pt idx="9">
                  <c:v>64</c:v>
                </c:pt>
                <c:pt idx="10">
                  <c:v>65</c:v>
                </c:pt>
                <c:pt idx="11">
                  <c:v>66</c:v>
                </c:pt>
                <c:pt idx="12">
                  <c:v>67</c:v>
                </c:pt>
                <c:pt idx="13">
                  <c:v>68</c:v>
                </c:pt>
                <c:pt idx="14">
                  <c:v>69</c:v>
                </c:pt>
                <c:pt idx="15">
                  <c:v>70</c:v>
                </c:pt>
                <c:pt idx="16">
                  <c:v>71</c:v>
                </c:pt>
                <c:pt idx="17">
                  <c:v>72</c:v>
                </c:pt>
                <c:pt idx="18">
                  <c:v>73</c:v>
                </c:pt>
                <c:pt idx="19">
                  <c:v>74</c:v>
                </c:pt>
                <c:pt idx="20">
                  <c:v>75</c:v>
                </c:pt>
                <c:pt idx="21">
                  <c:v>76</c:v>
                </c:pt>
                <c:pt idx="22">
                  <c:v>77</c:v>
                </c:pt>
                <c:pt idx="23">
                  <c:v>78</c:v>
                </c:pt>
                <c:pt idx="24">
                  <c:v>79</c:v>
                </c:pt>
                <c:pt idx="25">
                  <c:v>80</c:v>
                </c:pt>
                <c:pt idx="26">
                  <c:v>81</c:v>
                </c:pt>
                <c:pt idx="27">
                  <c:v>82</c:v>
                </c:pt>
                <c:pt idx="28">
                  <c:v>83</c:v>
                </c:pt>
                <c:pt idx="29">
                  <c:v>84</c:v>
                </c:pt>
                <c:pt idx="30">
                  <c:v>85</c:v>
                </c:pt>
                <c:pt idx="31">
                  <c:v>86</c:v>
                </c:pt>
                <c:pt idx="32">
                  <c:v>87</c:v>
                </c:pt>
                <c:pt idx="33">
                  <c:v>88</c:v>
                </c:pt>
                <c:pt idx="34">
                  <c:v>89</c:v>
                </c:pt>
                <c:pt idx="35">
                  <c:v>90</c:v>
                </c:pt>
                <c:pt idx="36">
                  <c:v>91</c:v>
                </c:pt>
                <c:pt idx="37">
                  <c:v>92</c:v>
                </c:pt>
                <c:pt idx="38">
                  <c:v>93</c:v>
                </c:pt>
                <c:pt idx="39">
                  <c:v>94</c:v>
                </c:pt>
                <c:pt idx="40">
                  <c:v>95</c:v>
                </c:pt>
                <c:pt idx="41">
                  <c:v>96</c:v>
                </c:pt>
                <c:pt idx="42">
                  <c:v>97</c:v>
                </c:pt>
                <c:pt idx="43">
                  <c:v>98</c:v>
                </c:pt>
                <c:pt idx="44">
                  <c:v>99</c:v>
                </c:pt>
                <c:pt idx="45">
                  <c:v>100</c:v>
                </c:pt>
              </c:numCache>
            </c:numRef>
          </c:cat>
          <c:val>
            <c:numRef>
              <c:extLst>
                <c:ext xmlns:c15="http://schemas.microsoft.com/office/drawing/2012/chart" uri="{02D57815-91ED-43cb-92C2-25804820EDAC}">
                  <c15:fullRef>
                    <c15:sqref>SpendingRoadMap!$E$2:$E$100</c15:sqref>
                  </c15:fullRef>
                </c:ext>
              </c:extLst>
              <c:f>SpendingRoadMap!$E$2:$E$47</c:f>
              <c:numCache>
                <c:formatCode>"$"#,##0</c:formatCode>
                <c:ptCount val="46"/>
                <c:pt idx="0">
                  <c:v>151185.45731707319</c:v>
                </c:pt>
                <c:pt idx="1">
                  <c:v>150889.16568501131</c:v>
                </c:pt>
                <c:pt idx="2">
                  <c:v>150628.98665037469</c:v>
                </c:pt>
                <c:pt idx="3">
                  <c:v>150404.78036629583</c:v>
                </c:pt>
                <c:pt idx="4">
                  <c:v>150216.39379529658</c:v>
                </c:pt>
                <c:pt idx="5">
                  <c:v>150063.65928989722</c:v>
                </c:pt>
                <c:pt idx="6">
                  <c:v>149946.39319902402</c:v>
                </c:pt>
                <c:pt idx="7">
                  <c:v>149864.39450420029</c:v>
                </c:pt>
                <c:pt idx="8">
                  <c:v>149817.44348955213</c:v>
                </c:pt>
                <c:pt idx="9">
                  <c:v>149805.30044968921</c:v>
                </c:pt>
                <c:pt idx="10">
                  <c:v>124124.46004977894</c:v>
                </c:pt>
                <c:pt idx="11">
                  <c:v>123491.46460153291</c:v>
                </c:pt>
                <c:pt idx="12">
                  <c:v>122861.27832422366</c:v>
                </c:pt>
                <c:pt idx="13">
                  <c:v>122233.31602452577</c:v>
                </c:pt>
                <c:pt idx="14">
                  <c:v>121607.00638145531</c:v>
                </c:pt>
                <c:pt idx="15">
                  <c:v>120981.79244000165</c:v>
                </c:pt>
                <c:pt idx="16">
                  <c:v>120357.13211371562</c:v>
                </c:pt>
                <c:pt idx="17">
                  <c:v>119732.49869446779</c:v>
                </c:pt>
                <c:pt idx="18">
                  <c:v>119107.3813675351</c:v>
                </c:pt>
                <c:pt idx="19">
                  <c:v>118481.28573012465</c:v>
                </c:pt>
                <c:pt idx="20">
                  <c:v>243160.74742862579</c:v>
                </c:pt>
                <c:pt idx="21">
                  <c:v>242681.53407670811</c:v>
                </c:pt>
                <c:pt idx="22">
                  <c:v>242214.008855325</c:v>
                </c:pt>
                <c:pt idx="23">
                  <c:v>115389.23626309929</c:v>
                </c:pt>
                <c:pt idx="24">
                  <c:v>114960.42074448711</c:v>
                </c:pt>
                <c:pt idx="25">
                  <c:v>114542.06414096305</c:v>
                </c:pt>
                <c:pt idx="26">
                  <c:v>114133.91135703711</c:v>
                </c:pt>
                <c:pt idx="27">
                  <c:v>113735.71351906061</c:v>
                </c:pt>
                <c:pt idx="28">
                  <c:v>113347.22782347376</c:v>
                </c:pt>
                <c:pt idx="29">
                  <c:v>97807.800000000017</c:v>
                </c:pt>
                <c:pt idx="30">
                  <c:v>97807.800000000017</c:v>
                </c:pt>
                <c:pt idx="31">
                  <c:v>97807.800000000017</c:v>
                </c:pt>
                <c:pt idx="32">
                  <c:v>97807.800000000017</c:v>
                </c:pt>
                <c:pt idx="33">
                  <c:v>95623.02036525622</c:v>
                </c:pt>
                <c:pt idx="34">
                  <c:v>93975.60000000002</c:v>
                </c:pt>
                <c:pt idx="35">
                  <c:v>93975.60000000002</c:v>
                </c:pt>
                <c:pt idx="36">
                  <c:v>93975.60000000002</c:v>
                </c:pt>
                <c:pt idx="37">
                  <c:v>93975.60000000002</c:v>
                </c:pt>
                <c:pt idx="38">
                  <c:v>93975.60000000002</c:v>
                </c:pt>
                <c:pt idx="39">
                  <c:v>93975.60000000002</c:v>
                </c:pt>
                <c:pt idx="40">
                  <c:v>93975.60000000002</c:v>
                </c:pt>
                <c:pt idx="41">
                  <c:v>93975.60000000002</c:v>
                </c:pt>
                <c:pt idx="42">
                  <c:v>93975.60000000002</c:v>
                </c:pt>
                <c:pt idx="43">
                  <c:v>93975.60000000002</c:v>
                </c:pt>
                <c:pt idx="44">
                  <c:v>93975.60000000002</c:v>
                </c:pt>
                <c:pt idx="45">
                  <c:v>93975.60000000002</c:v>
                </c:pt>
              </c:numCache>
            </c:numRef>
          </c:val>
          <c:extLst>
            <c:ext xmlns:c16="http://schemas.microsoft.com/office/drawing/2014/chart" uri="{C3380CC4-5D6E-409C-BE32-E72D297353CC}">
              <c16:uniqueId val="{00000001-819C-4010-928E-DD3F0B2A0DAC}"/>
            </c:ext>
          </c:extLst>
        </c:ser>
        <c:dLbls>
          <c:showLegendKey val="0"/>
          <c:showVal val="0"/>
          <c:showCatName val="0"/>
          <c:showSerName val="0"/>
          <c:showPercent val="0"/>
          <c:showBubbleSize val="0"/>
        </c:dLbls>
        <c:gapWidth val="219"/>
        <c:axId val="699516639"/>
        <c:axId val="699524319"/>
      </c:barChart>
      <c:lineChart>
        <c:grouping val="standard"/>
        <c:varyColors val="0"/>
        <c:ser>
          <c:idx val="2"/>
          <c:order val="2"/>
          <c:tx>
            <c:strRef>
              <c:f>SpendingRoadMap!$H$1</c:f>
              <c:strCache>
                <c:ptCount val="1"/>
                <c:pt idx="0">
                  <c:v>Ending Balance</c:v>
                </c:pt>
              </c:strCache>
            </c:strRef>
          </c:tx>
          <c:spPr>
            <a:ln w="28575" cap="rnd">
              <a:solidFill>
                <a:schemeClr val="accent3"/>
              </a:solidFill>
              <a:round/>
            </a:ln>
            <a:effectLst/>
          </c:spPr>
          <c:marker>
            <c:symbol val="none"/>
          </c:marker>
          <c:cat>
            <c:numRef>
              <c:extLst>
                <c:ext xmlns:c15="http://schemas.microsoft.com/office/drawing/2012/chart" uri="{02D57815-91ED-43cb-92C2-25804820EDAC}">
                  <c15:fullRef>
                    <c15:sqref>SpendingRoadMap!$B$2:$B$100</c15:sqref>
                  </c15:fullRef>
                </c:ext>
              </c:extLst>
              <c:f>SpendingRoadMap!$B$2:$B$47</c:f>
              <c:numCache>
                <c:formatCode>General</c:formatCode>
                <c:ptCount val="46"/>
                <c:pt idx="0">
                  <c:v>55</c:v>
                </c:pt>
                <c:pt idx="1">
                  <c:v>56</c:v>
                </c:pt>
                <c:pt idx="2">
                  <c:v>57</c:v>
                </c:pt>
                <c:pt idx="3">
                  <c:v>58</c:v>
                </c:pt>
                <c:pt idx="4">
                  <c:v>59</c:v>
                </c:pt>
                <c:pt idx="5">
                  <c:v>60</c:v>
                </c:pt>
                <c:pt idx="6">
                  <c:v>61</c:v>
                </c:pt>
                <c:pt idx="7">
                  <c:v>62</c:v>
                </c:pt>
                <c:pt idx="8">
                  <c:v>63</c:v>
                </c:pt>
                <c:pt idx="9">
                  <c:v>64</c:v>
                </c:pt>
                <c:pt idx="10">
                  <c:v>65</c:v>
                </c:pt>
                <c:pt idx="11">
                  <c:v>66</c:v>
                </c:pt>
                <c:pt idx="12">
                  <c:v>67</c:v>
                </c:pt>
                <c:pt idx="13">
                  <c:v>68</c:v>
                </c:pt>
                <c:pt idx="14">
                  <c:v>69</c:v>
                </c:pt>
                <c:pt idx="15">
                  <c:v>70</c:v>
                </c:pt>
                <c:pt idx="16">
                  <c:v>71</c:v>
                </c:pt>
                <c:pt idx="17">
                  <c:v>72</c:v>
                </c:pt>
                <c:pt idx="18">
                  <c:v>73</c:v>
                </c:pt>
                <c:pt idx="19">
                  <c:v>74</c:v>
                </c:pt>
                <c:pt idx="20">
                  <c:v>75</c:v>
                </c:pt>
                <c:pt idx="21">
                  <c:v>76</c:v>
                </c:pt>
                <c:pt idx="22">
                  <c:v>77</c:v>
                </c:pt>
                <c:pt idx="23">
                  <c:v>78</c:v>
                </c:pt>
                <c:pt idx="24">
                  <c:v>79</c:v>
                </c:pt>
                <c:pt idx="25">
                  <c:v>80</c:v>
                </c:pt>
                <c:pt idx="26">
                  <c:v>81</c:v>
                </c:pt>
                <c:pt idx="27">
                  <c:v>82</c:v>
                </c:pt>
                <c:pt idx="28">
                  <c:v>83</c:v>
                </c:pt>
                <c:pt idx="29">
                  <c:v>84</c:v>
                </c:pt>
                <c:pt idx="30">
                  <c:v>85</c:v>
                </c:pt>
                <c:pt idx="31">
                  <c:v>86</c:v>
                </c:pt>
                <c:pt idx="32">
                  <c:v>87</c:v>
                </c:pt>
                <c:pt idx="33">
                  <c:v>88</c:v>
                </c:pt>
                <c:pt idx="34">
                  <c:v>89</c:v>
                </c:pt>
                <c:pt idx="35">
                  <c:v>90</c:v>
                </c:pt>
                <c:pt idx="36">
                  <c:v>91</c:v>
                </c:pt>
                <c:pt idx="37">
                  <c:v>92</c:v>
                </c:pt>
                <c:pt idx="38">
                  <c:v>93</c:v>
                </c:pt>
                <c:pt idx="39">
                  <c:v>94</c:v>
                </c:pt>
                <c:pt idx="40">
                  <c:v>95</c:v>
                </c:pt>
                <c:pt idx="41">
                  <c:v>96</c:v>
                </c:pt>
                <c:pt idx="42">
                  <c:v>97</c:v>
                </c:pt>
                <c:pt idx="43">
                  <c:v>98</c:v>
                </c:pt>
                <c:pt idx="44">
                  <c:v>99</c:v>
                </c:pt>
                <c:pt idx="45">
                  <c:v>100</c:v>
                </c:pt>
              </c:numCache>
            </c:numRef>
          </c:cat>
          <c:val>
            <c:numRef>
              <c:extLst>
                <c:ext xmlns:c15="http://schemas.microsoft.com/office/drawing/2012/chart" uri="{02D57815-91ED-43cb-92C2-25804820EDAC}">
                  <c15:fullRef>
                    <c15:sqref>SpendingRoadMap!$H$2:$H$100</c15:sqref>
                  </c15:fullRef>
                </c:ext>
              </c:extLst>
              <c:f>SpendingRoadMap!$H$2:$H$47</c:f>
              <c:numCache>
                <c:formatCode>_("$"* #,##0_);_("$"* \(#,##0\);_("$"* "-"??_);_(@_)</c:formatCode>
                <c:ptCount val="46"/>
                <c:pt idx="0">
                  <c:v>1300366.0670731708</c:v>
                </c:pt>
                <c:pt idx="1">
                  <c:v>1352193.6556058871</c:v>
                </c:pt>
                <c:pt idx="2">
                  <c:v>1405457.955942994</c:v>
                </c:pt>
                <c:pt idx="3">
                  <c:v>1460132.0338239106</c:v>
                </c:pt>
                <c:pt idx="4">
                  <c:v>1516186.8124777649</c:v>
                </c:pt>
                <c:pt idx="5">
                  <c:v>1573591.0592237806</c:v>
                </c:pt>
                <c:pt idx="6">
                  <c:v>1632311.3767225214</c:v>
                </c:pt>
                <c:pt idx="7">
                  <c:v>1692312.1990131431</c:v>
                </c:pt>
                <c:pt idx="8">
                  <c:v>1753555.7924606097</c:v>
                </c:pt>
                <c:pt idx="9">
                  <c:v>1816002.2617249051</c:v>
                </c:pt>
                <c:pt idx="10">
                  <c:v>1770580.3052414223</c:v>
                </c:pt>
                <c:pt idx="11">
                  <c:v>1723890.568270599</c:v>
                </c:pt>
                <c:pt idx="12">
                  <c:v>1675925.9491894247</c:v>
                </c:pt>
                <c:pt idx="13">
                  <c:v>1626681.0348889397</c:v>
                </c:pt>
                <c:pt idx="14">
                  <c:v>1576152.142479833</c:v>
                </c:pt>
                <c:pt idx="15">
                  <c:v>1524337.35874051</c:v>
                </c:pt>
                <c:pt idx="16">
                  <c:v>1471236.5771534331</c:v>
                </c:pt>
                <c:pt idx="17">
                  <c:v>1416851.5323786847</c:v>
                </c:pt>
                <c:pt idx="18">
                  <c:v>1361185.8320174094</c:v>
                </c:pt>
                <c:pt idx="19">
                  <c:v>1304244.9855220695</c:v>
                </c:pt>
                <c:pt idx="20">
                  <c:v>1120729.4169980229</c:v>
                </c:pt>
                <c:pt idx="21">
                  <c:v>932700.10457180231</c:v>
                </c:pt>
                <c:pt idx="22">
                  <c:v>740160.37632089062</c:v>
                </c:pt>
                <c:pt idx="23">
                  <c:v>669487.19985791447</c:v>
                </c:pt>
                <c:pt idx="24">
                  <c:v>597311.18234907638</c:v>
                </c:pt>
                <c:pt idx="25">
                  <c:v>523634.94101433561</c:v>
                </c:pt>
                <c:pt idx="26">
                  <c:v>448462.9480524098</c:v>
                </c:pt>
                <c:pt idx="27">
                  <c:v>371801.56301102834</c:v>
                </c:pt>
                <c:pt idx="28">
                  <c:v>293659.06286667957</c:v>
                </c:pt>
                <c:pt idx="29">
                  <c:v>229206.0870820815</c:v>
                </c:pt>
                <c:pt idx="30">
                  <c:v>163253.73628947302</c:v>
                </c:pt>
                <c:pt idx="31">
                  <c:v>95813.991728243214</c:v>
                </c:pt>
                <c:pt idx="32">
                  <c:v>26900.622481163839</c:v>
                </c:pt>
                <c:pt idx="33">
                  <c:v>0</c:v>
                </c:pt>
                <c:pt idx="34">
                  <c:v>0</c:v>
                </c:pt>
                <c:pt idx="35">
                  <c:v>0</c:v>
                </c:pt>
                <c:pt idx="36">
                  <c:v>0</c:v>
                </c:pt>
                <c:pt idx="37">
                  <c:v>0</c:v>
                </c:pt>
                <c:pt idx="38">
                  <c:v>0</c:v>
                </c:pt>
                <c:pt idx="39">
                  <c:v>0</c:v>
                </c:pt>
                <c:pt idx="40">
                  <c:v>0</c:v>
                </c:pt>
                <c:pt idx="41">
                  <c:v>0</c:v>
                </c:pt>
                <c:pt idx="42">
                  <c:v>0</c:v>
                </c:pt>
                <c:pt idx="43">
                  <c:v>0</c:v>
                </c:pt>
                <c:pt idx="44">
                  <c:v>0</c:v>
                </c:pt>
                <c:pt idx="45">
                  <c:v>0</c:v>
                </c:pt>
              </c:numCache>
            </c:numRef>
          </c:val>
          <c:smooth val="0"/>
          <c:extLst>
            <c:ext xmlns:c16="http://schemas.microsoft.com/office/drawing/2014/chart" uri="{C3380CC4-5D6E-409C-BE32-E72D297353CC}">
              <c16:uniqueId val="{00000002-819C-4010-928E-DD3F0B2A0DAC}"/>
            </c:ext>
          </c:extLst>
        </c:ser>
        <c:dLbls>
          <c:showLegendKey val="0"/>
          <c:showVal val="0"/>
          <c:showCatName val="0"/>
          <c:showSerName val="0"/>
          <c:showPercent val="0"/>
          <c:showBubbleSize val="0"/>
        </c:dLbls>
        <c:marker val="1"/>
        <c:smooth val="0"/>
        <c:axId val="699523359"/>
        <c:axId val="699520959"/>
      </c:lineChart>
      <c:catAx>
        <c:axId val="699523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9520959"/>
        <c:crosses val="autoZero"/>
        <c:auto val="1"/>
        <c:lblAlgn val="ctr"/>
        <c:lblOffset val="100"/>
        <c:noMultiLvlLbl val="0"/>
      </c:catAx>
      <c:valAx>
        <c:axId val="699520959"/>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9523359"/>
        <c:crosses val="autoZero"/>
        <c:crossBetween val="between"/>
      </c:valAx>
      <c:valAx>
        <c:axId val="699524319"/>
        <c:scaling>
          <c:orientation val="minMax"/>
        </c:scaling>
        <c:delete val="0"/>
        <c:axPos val="r"/>
        <c:numFmt formatCode="&quot;$&quot;#,##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9516639"/>
        <c:crosses val="max"/>
        <c:crossBetween val="between"/>
      </c:valAx>
      <c:catAx>
        <c:axId val="699516639"/>
        <c:scaling>
          <c:orientation val="minMax"/>
        </c:scaling>
        <c:delete val="1"/>
        <c:axPos val="b"/>
        <c:numFmt formatCode="General" sourceLinked="1"/>
        <c:majorTickMark val="out"/>
        <c:minorTickMark val="none"/>
        <c:tickLblPos val="nextTo"/>
        <c:crossAx val="699524319"/>
        <c:crosses val="autoZero"/>
        <c:auto val="1"/>
        <c:lblAlgn val="ctr"/>
        <c:lblOffset val="100"/>
        <c:noMultiLvlLbl val="0"/>
      </c:catAx>
      <c:spPr>
        <a:noFill/>
        <a:ln>
          <a:noFill/>
        </a:ln>
        <a:effectLst/>
      </c:spPr>
    </c:plotArea>
    <c:legend>
      <c:legendPos val="b"/>
      <c:layout>
        <c:manualLayout>
          <c:xMode val="edge"/>
          <c:yMode val="edge"/>
          <c:x val="0.61389793948170279"/>
          <c:y val="0.15617477671406185"/>
          <c:w val="0.13523086553835942"/>
          <c:h val="0.2299163503842595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99060</xdr:colOff>
      <xdr:row>0</xdr:row>
      <xdr:rowOff>83820</xdr:rowOff>
    </xdr:from>
    <xdr:ext cx="13335000" cy="2484120"/>
    <xdr:sp macro="" textlink="">
      <xdr:nvSpPr>
        <xdr:cNvPr id="2" name="TextBox 1">
          <a:extLst>
            <a:ext uri="{FF2B5EF4-FFF2-40B4-BE49-F238E27FC236}">
              <a16:creationId xmlns:a16="http://schemas.microsoft.com/office/drawing/2014/main" id="{A16AADDD-777F-F3CE-8D8D-A0544BE15F53}"/>
            </a:ext>
          </a:extLst>
        </xdr:cNvPr>
        <xdr:cNvSpPr txBox="1"/>
      </xdr:nvSpPr>
      <xdr:spPr>
        <a:xfrm>
          <a:off x="99060" y="83820"/>
          <a:ext cx="13335000" cy="2484120"/>
        </a:xfrm>
        <a:prstGeom prst="rect">
          <a:avLst/>
        </a:prstGeom>
        <a:solidFill>
          <a:schemeClr val="accent4">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rgbClr val="FF0000"/>
              </a:solidFill>
            </a:rPr>
            <a:t>DISCLAIMER</a:t>
          </a:r>
        </a:p>
        <a:p>
          <a:pPr algn="ctr"/>
          <a:endParaRPr lang="en-US" sz="1100" b="1"/>
        </a:p>
        <a:p>
          <a:r>
            <a:rPr lang="en-US" sz="1100" b="1"/>
            <a:t>This spreadsheet</a:t>
          </a:r>
          <a:r>
            <a:rPr lang="en-US" sz="1100" b="1" baseline="0"/>
            <a:t> is for educational and informational purpose only. It should be used only as a guideline for a rough projection of the future financial picture of a household based on the input. This spreadsheet should not be considered as investment advice, tax advice, legal advice or any kind of personalized professional service.</a:t>
          </a:r>
        </a:p>
        <a:p>
          <a:endParaRPr lang="en-US" sz="1100" b="1" baseline="0"/>
        </a:p>
        <a:p>
          <a:r>
            <a:rPr lang="en-US" sz="1100" b="1" baseline="0"/>
            <a:t>The spreadsheet, including its methodology, templates, formula and calculations, is proprietary and the property of Dollar Mentor (</a:t>
          </a:r>
          <a:r>
            <a:rPr lang="en-US">
              <a:hlinkClick xmlns:r="http://schemas.openxmlformats.org/officeDocument/2006/relationships" r:id=""/>
            </a:rPr>
            <a:t>Dollar Mentor – Investment education to grow wealth with confidence</a:t>
          </a:r>
          <a:r>
            <a:rPr lang="en-US" sz="1100" b="1" baseline="0"/>
            <a:t>), a 501(c)(3) organization with a mission to provide free financial and investment education. This spreadsheet template is intended only for those individuals who attended an individual or group educational session to walk through the spreadsheet. It should not be pubished or shared without first obtaining written permission from Dollar Mentor (contact@dollarmentor.org). </a:t>
          </a:r>
        </a:p>
        <a:p>
          <a:endParaRPr lang="en-US" sz="1100" b="1" baseline="0"/>
        </a:p>
        <a:p>
          <a:r>
            <a:rPr lang="en-US" sz="1100" b="1" baseline="0"/>
            <a:t>By using this spreadsheet, you agree to Dollar Mentor's Terms of Service which can be found at </a:t>
          </a:r>
          <a:r>
            <a:rPr lang="en-US">
              <a:hlinkClick xmlns:r="http://schemas.openxmlformats.org/officeDocument/2006/relationships" r:id=""/>
            </a:rPr>
            <a:t>Terms – Dollar Mentor</a:t>
          </a:r>
          <a:r>
            <a:rPr lang="en-US"/>
            <a:t>. </a:t>
          </a:r>
          <a:r>
            <a:rPr lang="en-US" sz="1100" b="1" baseline="0">
              <a:solidFill>
                <a:schemeClr val="tx1"/>
              </a:solidFill>
              <a:effectLst/>
              <a:latin typeface="+mn-lt"/>
              <a:ea typeface="+mn-ea"/>
              <a:cs typeface="+mn-cs"/>
            </a:rPr>
            <a:t>Specifically, Dollar Mentor does not make any economic benefit whatsoever from its services and products, including this spreadsheet, and you agree to hold Dollar Mentor or any of its associates harmless for any undesirable outcome resulting from using its services and products, including this spreadsheet.</a:t>
          </a:r>
          <a:endParaRPr lang="en-US" sz="1100" b="1" baseline="0"/>
        </a:p>
        <a:p>
          <a:endParaRPr lang="en-US" sz="1100" b="1" baseline="0"/>
        </a:p>
        <a:p>
          <a:r>
            <a:rPr lang="en-US" sz="1100" b="1" baseline="0"/>
            <a:t>The spreadsheet is a product of experimentation and is subject to errors including bugs, projection errors, wrong assumptions, incorrect formula, and so on. Dollar Mentor does not endorse or validate the correctness of this model, or its applicability to the user. Dollar Mentor provides no warranty or assurance of this spreadsheet. Please do you own due diligence and research beforehand and use this product at your own risk. </a:t>
          </a:r>
        </a:p>
        <a:p>
          <a:endParaRPr lang="en-US" sz="1100" b="1" baseline="0"/>
        </a:p>
        <a:p>
          <a:endParaRPr lang="en-US" sz="1100" b="1"/>
        </a:p>
      </xdr:txBody>
    </xdr:sp>
    <xdr:clientData/>
  </xdr:oneCellAnchor>
  <xdr:oneCellAnchor>
    <xdr:from>
      <xdr:col>0</xdr:col>
      <xdr:colOff>106680</xdr:colOff>
      <xdr:row>14</xdr:row>
      <xdr:rowOff>121920</xdr:rowOff>
    </xdr:from>
    <xdr:ext cx="13335000" cy="3139439"/>
    <xdr:sp macro="" textlink="">
      <xdr:nvSpPr>
        <xdr:cNvPr id="3" name="TextBox 2">
          <a:extLst>
            <a:ext uri="{FF2B5EF4-FFF2-40B4-BE49-F238E27FC236}">
              <a16:creationId xmlns:a16="http://schemas.microsoft.com/office/drawing/2014/main" id="{8E08120D-CCFD-4D2B-8D82-74FED2DF880E}"/>
            </a:ext>
          </a:extLst>
        </xdr:cNvPr>
        <xdr:cNvSpPr txBox="1"/>
      </xdr:nvSpPr>
      <xdr:spPr>
        <a:xfrm>
          <a:off x="106680" y="2682240"/>
          <a:ext cx="13335000" cy="3139439"/>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accent5"/>
              </a:solidFill>
            </a:rPr>
            <a:t>DIRECTIONS</a:t>
          </a:r>
        </a:p>
        <a:p>
          <a:pPr algn="ctr"/>
          <a:endParaRPr lang="en-US" sz="1100" b="1"/>
        </a:p>
        <a:p>
          <a:r>
            <a:rPr lang="en-US" sz="1100" b="1"/>
            <a:t>Enter your overall</a:t>
          </a:r>
          <a:r>
            <a:rPr lang="en-US" sz="1100" b="1" baseline="0"/>
            <a:t> informaion in the "Overall" sheet, your Investments in the "Investments" sheet, spending information </a:t>
          </a:r>
          <a:r>
            <a:rPr lang="en-US" sz="1100" b="1" i="1" baseline="0"/>
            <a:t>(outgoing money streams</a:t>
          </a:r>
          <a:r>
            <a:rPr lang="en-US" sz="1100" b="1" i="0" baseline="0"/>
            <a:t>) in the "Expenses" Sheet. The "Income" sheet is completely auto-generated, and should not be edited, but feel free to add any additional income information </a:t>
          </a:r>
          <a:r>
            <a:rPr lang="en-US" sz="1100" b="1" i="1" baseline="0"/>
            <a:t>(incoming money streams</a:t>
          </a:r>
          <a:r>
            <a:rPr lang="en-US" sz="1100" b="1" i="0" baseline="0"/>
            <a:t>) if the spreadsheet doesn't cover it. Once your information is in, use the "SpendingRoadMap" sheet and the "Charts" sheet to review your results.</a:t>
          </a:r>
          <a:r>
            <a:rPr lang="en-US" sz="1100" b="1" baseline="0"/>
            <a:t> </a:t>
          </a:r>
        </a:p>
        <a:p>
          <a:endParaRPr lang="en-US" sz="1100" b="1" baseline="0"/>
        </a:p>
        <a:p>
          <a:r>
            <a:rPr lang="en-US" sz="1100" b="1" baseline="0"/>
            <a:t>All Input fields are highlighted in light yellow shade. Some optional fields are highlighted in light green shade. Configuration parameters are highlighted in light blue shade. Change any Configuration parameter ONLY IF you are certain about overriding the default parameters.</a:t>
          </a:r>
        </a:p>
        <a:p>
          <a:endParaRPr lang="en-US" sz="1100" b="1" baseline="0"/>
        </a:p>
        <a:p>
          <a:r>
            <a:rPr lang="en-US" sz="1100" b="1" baseline="0"/>
            <a:t>DOs and DONTs:</a:t>
          </a:r>
        </a:p>
        <a:p>
          <a:r>
            <a:rPr lang="en-US" sz="1100" b="1" baseline="0"/>
            <a:t>  - DO NOT edit anything that is NOT highlighted with light yellow, green or blue shade</a:t>
          </a:r>
        </a:p>
        <a:p>
          <a:r>
            <a:rPr lang="en-US" sz="1100" b="1" baseline="0"/>
            <a:t>  - DO NOT change any macro, formula or rules</a:t>
          </a:r>
        </a:p>
        <a:p>
          <a:r>
            <a:rPr lang="en-US" sz="1100" b="1" baseline="0"/>
            <a:t>  - Exercise caution while adding or deleting rows in the Expenses, Investments, or Income sheets.</a:t>
          </a:r>
        </a:p>
        <a:p>
          <a:r>
            <a:rPr lang="en-US" sz="1100" b="1" baseline="0"/>
            <a:t>  - If you add row to any table, be sure that the new rows are consistent with the existing rows (e.g., cell macros and formatting are copied over from existing row).</a:t>
          </a:r>
        </a:p>
        <a:p>
          <a:r>
            <a:rPr lang="en-US" sz="1100" b="1" baseline="0"/>
            <a:t>  - Use existing Cells in the "Overall" sheet as reference when you enter year information (E.g., Start year = Second Retirement Year (Cell Overall!$B$75) instead of 2040). Hardcoding years makes it difficult to maintain.</a:t>
          </a:r>
        </a:p>
        <a:p>
          <a:r>
            <a:rPr lang="en-US" sz="1100" b="1" baseline="0"/>
            <a:t>  - You can add new charts for analysis, using the existing Chart as an example.</a:t>
          </a:r>
        </a:p>
        <a:p>
          <a:r>
            <a:rPr lang="en-US" sz="1100" b="1" baseline="0"/>
            <a:t>  - Refresh the model at least annually, or when there is a major change in your financial situation from the current model</a:t>
          </a:r>
        </a:p>
        <a:p>
          <a:endParaRPr lang="en-US" sz="1100" b="1" baseline="0"/>
        </a:p>
        <a:p>
          <a:endParaRPr lang="en-US" sz="1100" b="1" baseline="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21</xdr:col>
      <xdr:colOff>457200</xdr:colOff>
      <xdr:row>28</xdr:row>
      <xdr:rowOff>175260</xdr:rowOff>
    </xdr:to>
    <xdr:graphicFrame macro="">
      <xdr:nvGraphicFramePr>
        <xdr:cNvPr id="2" name="Chart 1">
          <a:extLst>
            <a:ext uri="{FF2B5EF4-FFF2-40B4-BE49-F238E27FC236}">
              <a16:creationId xmlns:a16="http://schemas.microsoft.com/office/drawing/2014/main" id="{9F49EE86-97B2-4BA5-950B-6EB31A01CC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152400</xdr:colOff>
      <xdr:row>26</xdr:row>
      <xdr:rowOff>144780</xdr:rowOff>
    </xdr:from>
    <xdr:ext cx="634726" cy="264560"/>
    <xdr:sp macro="" textlink="">
      <xdr:nvSpPr>
        <xdr:cNvPr id="4" name="TextBox 3">
          <a:extLst>
            <a:ext uri="{FF2B5EF4-FFF2-40B4-BE49-F238E27FC236}">
              <a16:creationId xmlns:a16="http://schemas.microsoft.com/office/drawing/2014/main" id="{57EA24D5-3D58-99A5-CAE5-C79002EA7C74}"/>
            </a:ext>
          </a:extLst>
        </xdr:cNvPr>
        <xdr:cNvSpPr txBox="1"/>
      </xdr:nvSpPr>
      <xdr:spPr>
        <a:xfrm>
          <a:off x="762000" y="4899660"/>
          <a:ext cx="634726"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t>Age ---&gt;</a:t>
          </a:r>
        </a:p>
      </xdr:txBody>
    </xdr:sp>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1C370-2882-4460-9E59-16B53E85645C}">
  <dimension ref="A1"/>
  <sheetViews>
    <sheetView tabSelected="1" workbookViewId="0">
      <selection sqref="A1:XFD1048576"/>
    </sheetView>
  </sheetViews>
  <sheetFormatPr defaultRowHeight="14.4" x14ac:dyDescent="0.3"/>
  <cols>
    <col min="1" max="16384" width="8.88671875" style="72"/>
  </cols>
  <sheetData>
    <row r="1" spans="1:1" x14ac:dyDescent="0.3">
      <c r="A1" s="152"/>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C109"/>
  <sheetViews>
    <sheetView zoomScaleNormal="100" workbookViewId="0">
      <selection activeCell="B67" sqref="B67"/>
    </sheetView>
  </sheetViews>
  <sheetFormatPr defaultColWidth="9.33203125" defaultRowHeight="14.4" x14ac:dyDescent="0.3"/>
  <cols>
    <col min="1" max="1" width="40.44140625" style="4" customWidth="1"/>
    <col min="2" max="2" width="16.33203125" style="4" customWidth="1"/>
    <col min="3" max="3" width="14.44140625" style="5" customWidth="1"/>
    <col min="4" max="4" width="18.5546875" style="73" customWidth="1"/>
    <col min="5" max="5" width="13.44140625" style="6" customWidth="1"/>
    <col min="6" max="6" width="15" style="4" customWidth="1"/>
    <col min="7" max="7" width="15.33203125" style="4" customWidth="1"/>
    <col min="8" max="8" width="9.33203125" style="4"/>
    <col min="9" max="9" width="9.44140625" style="4" customWidth="1"/>
    <col min="10" max="10" width="14.44140625" style="14" customWidth="1"/>
    <col min="11" max="11" width="13" style="7" customWidth="1"/>
    <col min="12" max="12" width="11.33203125" style="7" bestFit="1" customWidth="1"/>
    <col min="13" max="13" width="23" style="16" customWidth="1"/>
    <col min="14" max="14" width="6" style="4" customWidth="1"/>
    <col min="15" max="15" width="19.6640625" style="17" bestFit="1" customWidth="1"/>
    <col min="16" max="16" width="19.5546875" style="18" customWidth="1"/>
    <col min="17" max="17" width="13.6640625" style="7" customWidth="1"/>
    <col min="18" max="18" width="11.109375" style="4" bestFit="1" customWidth="1"/>
    <col min="19" max="19" width="11.33203125" style="4" customWidth="1"/>
    <col min="20" max="20" width="13.6640625" style="4" customWidth="1"/>
    <col min="21" max="16384" width="9.33203125" style="4"/>
  </cols>
  <sheetData>
    <row r="1" spans="1:5" x14ac:dyDescent="0.3">
      <c r="A1" s="43" t="s">
        <v>32</v>
      </c>
      <c r="B1" s="142">
        <v>2025</v>
      </c>
      <c r="C1" s="4"/>
      <c r="D1" s="114">
        <f ca="1">YEAR(TODAY())</f>
        <v>2025</v>
      </c>
      <c r="E1" s="44" t="s">
        <v>207</v>
      </c>
    </row>
    <row r="3" spans="1:5" x14ac:dyDescent="0.3">
      <c r="A3" s="20" t="s">
        <v>100</v>
      </c>
      <c r="B3" s="77" t="b">
        <v>0</v>
      </c>
      <c r="C3" s="7"/>
      <c r="D3" s="59"/>
      <c r="E3" s="42" t="s">
        <v>101</v>
      </c>
    </row>
    <row r="4" spans="1:5" x14ac:dyDescent="0.3">
      <c r="A4"/>
      <c r="D4" s="59"/>
      <c r="E4" s="58"/>
    </row>
    <row r="5" spans="1:5" ht="18" x14ac:dyDescent="0.35">
      <c r="A5" s="68" t="s">
        <v>23</v>
      </c>
      <c r="B5" s="69" t="s">
        <v>94</v>
      </c>
      <c r="C5" s="70" t="s">
        <v>95</v>
      </c>
      <c r="D5" s="59"/>
    </row>
    <row r="7" spans="1:5" x14ac:dyDescent="0.3">
      <c r="A7" s="42" t="s">
        <v>112</v>
      </c>
      <c r="B7" s="38">
        <v>1970</v>
      </c>
      <c r="C7" s="29">
        <v>1973</v>
      </c>
      <c r="D7" s="62">
        <f>IF($B$3,C7,B7)</f>
        <v>1970</v>
      </c>
    </row>
    <row r="8" spans="1:5" x14ac:dyDescent="0.3">
      <c r="A8" s="6"/>
      <c r="B8" s="41"/>
      <c r="C8" s="23"/>
      <c r="D8" s="59"/>
    </row>
    <row r="9" spans="1:5" x14ac:dyDescent="0.3">
      <c r="A9" s="44" t="s">
        <v>53</v>
      </c>
      <c r="C9" s="4"/>
      <c r="D9" s="63"/>
    </row>
    <row r="10" spans="1:5" x14ac:dyDescent="0.3">
      <c r="A10" s="42" t="s">
        <v>98</v>
      </c>
      <c r="B10" s="31">
        <v>175000</v>
      </c>
      <c r="C10" s="55">
        <v>0</v>
      </c>
      <c r="D10" s="63">
        <f>IF($B$3,C10,0)</f>
        <v>0</v>
      </c>
      <c r="E10" s="42" t="s">
        <v>208</v>
      </c>
    </row>
    <row r="11" spans="1:5" x14ac:dyDescent="0.3">
      <c r="A11" s="42" t="s">
        <v>99</v>
      </c>
      <c r="B11" s="29">
        <v>65</v>
      </c>
      <c r="C11" s="29">
        <v>58</v>
      </c>
      <c r="D11" s="62">
        <f>IF($B$3,C11,B11)</f>
        <v>65</v>
      </c>
    </row>
    <row r="12" spans="1:5" x14ac:dyDescent="0.3">
      <c r="A12" s="6"/>
      <c r="B12" s="5"/>
      <c r="C12" s="4"/>
      <c r="D12" s="63"/>
    </row>
    <row r="13" spans="1:5" x14ac:dyDescent="0.3">
      <c r="A13" s="42" t="s">
        <v>56</v>
      </c>
      <c r="B13" s="51">
        <v>0</v>
      </c>
      <c r="C13" s="54"/>
      <c r="D13" s="63"/>
      <c r="E13" s="42" t="s">
        <v>58</v>
      </c>
    </row>
    <row r="14" spans="1:5" x14ac:dyDescent="0.3">
      <c r="A14" s="42" t="s">
        <v>57</v>
      </c>
      <c r="B14" s="51">
        <v>0</v>
      </c>
      <c r="C14" s="54"/>
      <c r="D14" s="63"/>
      <c r="E14" s="42" t="s">
        <v>209</v>
      </c>
    </row>
    <row r="15" spans="1:5" x14ac:dyDescent="0.3">
      <c r="A15" s="42"/>
      <c r="B15" s="52"/>
      <c r="C15" s="4"/>
      <c r="D15" s="63"/>
      <c r="E15" s="42"/>
    </row>
    <row r="16" spans="1:5" x14ac:dyDescent="0.3">
      <c r="A16" s="42" t="s">
        <v>131</v>
      </c>
      <c r="B16" s="51">
        <v>0</v>
      </c>
      <c r="C16" s="54"/>
      <c r="D16" s="63"/>
      <c r="E16" s="42" t="s">
        <v>130</v>
      </c>
    </row>
    <row r="17" spans="1:5" x14ac:dyDescent="0.3">
      <c r="A17" s="42" t="s">
        <v>134</v>
      </c>
      <c r="B17" s="29">
        <f>$B$1</f>
        <v>2025</v>
      </c>
      <c r="C17" s="54"/>
      <c r="D17" s="63"/>
      <c r="E17" s="42" t="s">
        <v>137</v>
      </c>
    </row>
    <row r="18" spans="1:5" x14ac:dyDescent="0.3">
      <c r="A18" s="42" t="s">
        <v>132</v>
      </c>
      <c r="B18" s="51">
        <v>0</v>
      </c>
      <c r="C18" s="54"/>
      <c r="D18" s="63"/>
      <c r="E18" s="42" t="s">
        <v>130</v>
      </c>
    </row>
    <row r="19" spans="1:5" x14ac:dyDescent="0.3">
      <c r="A19" s="42" t="s">
        <v>135</v>
      </c>
      <c r="B19" s="29">
        <f>$B$1</f>
        <v>2025</v>
      </c>
      <c r="C19" s="54"/>
      <c r="D19" s="63"/>
      <c r="E19" s="42" t="s">
        <v>137</v>
      </c>
    </row>
    <row r="20" spans="1:5" x14ac:dyDescent="0.3">
      <c r="A20" s="42" t="s">
        <v>133</v>
      </c>
      <c r="B20" s="51">
        <v>0</v>
      </c>
      <c r="C20" s="54"/>
      <c r="D20" s="63"/>
      <c r="E20" s="42" t="s">
        <v>130</v>
      </c>
    </row>
    <row r="21" spans="1:5" x14ac:dyDescent="0.3">
      <c r="A21" s="42" t="s">
        <v>136</v>
      </c>
      <c r="B21" s="29">
        <f>$B$1</f>
        <v>2025</v>
      </c>
      <c r="C21" s="54"/>
      <c r="D21" s="63"/>
      <c r="E21" s="42" t="s">
        <v>137</v>
      </c>
    </row>
    <row r="22" spans="1:5" x14ac:dyDescent="0.3">
      <c r="A22" s="6"/>
      <c r="C22" s="4"/>
      <c r="D22" s="63"/>
    </row>
    <row r="23" spans="1:5" x14ac:dyDescent="0.3">
      <c r="A23" s="44" t="s">
        <v>31</v>
      </c>
      <c r="C23" s="4"/>
      <c r="D23" s="59"/>
    </row>
    <row r="24" spans="1:5" x14ac:dyDescent="0.3">
      <c r="A24" s="42" t="s">
        <v>97</v>
      </c>
      <c r="B24" s="31">
        <v>32000</v>
      </c>
      <c r="C24" s="55">
        <v>25000</v>
      </c>
      <c r="D24" s="63">
        <f>IF($B$3,C24,0)</f>
        <v>0</v>
      </c>
      <c r="E24" s="42" t="s">
        <v>63</v>
      </c>
    </row>
    <row r="25" spans="1:5" x14ac:dyDescent="0.3">
      <c r="A25" s="42" t="s">
        <v>96</v>
      </c>
      <c r="B25" s="28">
        <f>MIN(MAX(62,B11),70)</f>
        <v>65</v>
      </c>
      <c r="C25" s="29">
        <f>MIN(MAX(62,C11),70)</f>
        <v>62</v>
      </c>
      <c r="D25" s="62">
        <f>IF($B$3,C25,B25)</f>
        <v>65</v>
      </c>
      <c r="E25" s="42" t="s">
        <v>175</v>
      </c>
    </row>
    <row r="26" spans="1:5" x14ac:dyDescent="0.3">
      <c r="A26" s="6"/>
      <c r="C26" s="4"/>
      <c r="D26" s="63"/>
    </row>
    <row r="27" spans="1:5" x14ac:dyDescent="0.3">
      <c r="A27" s="44" t="s">
        <v>54</v>
      </c>
      <c r="B27" s="40"/>
      <c r="C27" s="4"/>
      <c r="D27" s="63"/>
      <c r="E27" s="42"/>
    </row>
    <row r="28" spans="1:5" x14ac:dyDescent="0.3">
      <c r="A28" s="42" t="s">
        <v>174</v>
      </c>
      <c r="B28" s="107">
        <v>3</v>
      </c>
      <c r="C28" s="108">
        <v>3</v>
      </c>
      <c r="D28" s="114">
        <f>IF($B$3,C28,0)</f>
        <v>0</v>
      </c>
      <c r="E28" s="42" t="s">
        <v>171</v>
      </c>
    </row>
    <row r="29" spans="1:5" x14ac:dyDescent="0.3">
      <c r="A29" s="42" t="s">
        <v>169</v>
      </c>
      <c r="B29" s="31">
        <v>0</v>
      </c>
      <c r="C29" s="55">
        <v>0</v>
      </c>
      <c r="D29" s="63">
        <f>IF($B$3,C29,0)</f>
        <v>0</v>
      </c>
      <c r="E29" s="42" t="s">
        <v>52</v>
      </c>
    </row>
    <row r="30" spans="1:5" x14ac:dyDescent="0.3">
      <c r="A30" s="42" t="s">
        <v>170</v>
      </c>
      <c r="B30" s="29">
        <v>5</v>
      </c>
      <c r="C30" s="29">
        <v>5</v>
      </c>
      <c r="D30" s="62">
        <f>IF($B$3,C30,0)</f>
        <v>0</v>
      </c>
      <c r="E30" s="42" t="s">
        <v>55</v>
      </c>
    </row>
    <row r="31" spans="1:5" x14ac:dyDescent="0.3">
      <c r="A31" s="42" t="s">
        <v>103</v>
      </c>
      <c r="B31" s="51">
        <v>0</v>
      </c>
      <c r="C31" s="55">
        <v>0</v>
      </c>
      <c r="D31" s="63">
        <f>IF($B$3,C31,0)</f>
        <v>0</v>
      </c>
      <c r="E31" s="42"/>
    </row>
    <row r="32" spans="1:5" x14ac:dyDescent="0.3">
      <c r="A32" s="42" t="s">
        <v>102</v>
      </c>
      <c r="B32" s="29">
        <v>65</v>
      </c>
      <c r="C32" s="28">
        <v>0</v>
      </c>
      <c r="D32" s="62">
        <f>IF($B$3,C32,B32)</f>
        <v>65</v>
      </c>
      <c r="E32" s="42"/>
    </row>
    <row r="33" spans="1:17" x14ac:dyDescent="0.3">
      <c r="A33" s="6"/>
      <c r="B33" s="15"/>
      <c r="C33" s="4"/>
      <c r="D33" s="59"/>
    </row>
    <row r="34" spans="1:17" s="123" customFormat="1" ht="28.8" customHeight="1" x14ac:dyDescent="0.3">
      <c r="A34" s="118" t="s">
        <v>168</v>
      </c>
      <c r="B34" s="119">
        <f>MIN(SpendingRoadMap!$B$2,SpendingRoadMap!$L$2) + D34 -2</f>
        <v>87</v>
      </c>
      <c r="C34" s="120" t="s">
        <v>167</v>
      </c>
      <c r="D34" s="121" cm="1">
        <f t="array" ref="D34">MATCH(TRUE,SpendingRoadMap!$H$2:$H$200&lt;=0,0)</f>
        <v>34</v>
      </c>
      <c r="E34" s="122" t="s">
        <v>166</v>
      </c>
      <c r="J34" s="124"/>
      <c r="K34" s="125"/>
      <c r="L34" s="125"/>
      <c r="M34" s="126"/>
      <c r="O34" s="127"/>
      <c r="P34" s="128"/>
      <c r="Q34" s="125"/>
    </row>
    <row r="35" spans="1:17" x14ac:dyDescent="0.3">
      <c r="A35" s="42" t="s">
        <v>118</v>
      </c>
      <c r="B35" s="139" t="b">
        <v>1</v>
      </c>
      <c r="C35" s="54"/>
      <c r="D35" s="59"/>
    </row>
    <row r="36" spans="1:17" x14ac:dyDescent="0.3">
      <c r="A36" s="42" t="s">
        <v>117</v>
      </c>
      <c r="B36" s="140" t="b">
        <v>1</v>
      </c>
      <c r="C36" s="54"/>
      <c r="D36" s="59"/>
    </row>
    <row r="37" spans="1:17" x14ac:dyDescent="0.3">
      <c r="A37" s="42" t="s">
        <v>147</v>
      </c>
      <c r="B37" s="140" t="b">
        <v>1</v>
      </c>
      <c r="C37" s="143" t="b">
        <v>1</v>
      </c>
      <c r="D37" s="59"/>
    </row>
    <row r="38" spans="1:17" x14ac:dyDescent="0.3">
      <c r="A38" s="6"/>
      <c r="B38" s="15"/>
      <c r="C38" s="4"/>
      <c r="D38" s="59"/>
    </row>
    <row r="39" spans="1:17" s="62" customFormat="1" ht="18" x14ac:dyDescent="0.35">
      <c r="A39" s="67" t="s">
        <v>108</v>
      </c>
      <c r="C39" s="73"/>
      <c r="D39" s="59"/>
      <c r="E39" s="60"/>
      <c r="J39" s="63"/>
      <c r="K39" s="59"/>
      <c r="L39" s="59"/>
      <c r="M39" s="64"/>
      <c r="O39" s="65"/>
      <c r="P39" s="66"/>
      <c r="Q39" s="59"/>
    </row>
    <row r="40" spans="1:17" s="62" customFormat="1" x14ac:dyDescent="0.3">
      <c r="A40" s="57" t="s">
        <v>140</v>
      </c>
      <c r="C40" s="59"/>
      <c r="D40" s="59"/>
      <c r="E40" s="60"/>
      <c r="J40" s="63"/>
      <c r="K40" s="59"/>
      <c r="L40" s="59"/>
      <c r="M40" s="64"/>
      <c r="O40" s="65"/>
      <c r="P40" s="66"/>
      <c r="Q40" s="59"/>
    </row>
    <row r="41" spans="1:17" x14ac:dyDescent="0.3">
      <c r="A41" s="57" t="s">
        <v>180</v>
      </c>
      <c r="B41" s="19"/>
      <c r="C41" s="8"/>
      <c r="D41" s="114"/>
      <c r="E41" s="14"/>
    </row>
    <row r="42" spans="1:17" x14ac:dyDescent="0.3">
      <c r="A42" s="42" t="s">
        <v>116</v>
      </c>
      <c r="B42" s="141">
        <v>0</v>
      </c>
      <c r="C42" s="54"/>
      <c r="D42" s="115">
        <f>B89*B42</f>
        <v>0</v>
      </c>
      <c r="E42" s="75" t="s">
        <v>210</v>
      </c>
    </row>
    <row r="43" spans="1:17" x14ac:dyDescent="0.3">
      <c r="A43" s="42" t="s">
        <v>113</v>
      </c>
      <c r="B43" s="138">
        <v>0.08</v>
      </c>
      <c r="C43" s="7"/>
      <c r="D43" s="60">
        <f>B43- IF($B$36,$B$46,0)</f>
        <v>7.0000000000000007E-2</v>
      </c>
      <c r="E43" s="42"/>
    </row>
    <row r="44" spans="1:17" x14ac:dyDescent="0.3">
      <c r="A44" s="42" t="s">
        <v>114</v>
      </c>
      <c r="B44" s="138">
        <v>4.4999999999999998E-2</v>
      </c>
      <c r="C44" s="7"/>
      <c r="D44" s="60">
        <f>B44- IF($B$36,$B$46,0)</f>
        <v>3.4999999999999996E-2</v>
      </c>
      <c r="E44" s="42"/>
    </row>
    <row r="45" spans="1:17" x14ac:dyDescent="0.3">
      <c r="A45" s="6" t="s">
        <v>21</v>
      </c>
      <c r="B45" s="138">
        <v>2.5000000000000001E-2</v>
      </c>
      <c r="C45" s="7"/>
      <c r="D45" s="60">
        <f>IF(Overall!$B$35,0,B45)</f>
        <v>0</v>
      </c>
    </row>
    <row r="46" spans="1:17" x14ac:dyDescent="0.3">
      <c r="A46" s="42" t="s">
        <v>119</v>
      </c>
      <c r="B46" s="137">
        <v>0.01</v>
      </c>
      <c r="C46" s="7"/>
      <c r="D46" s="59"/>
    </row>
    <row r="47" spans="1:17" x14ac:dyDescent="0.3">
      <c r="A47" s="6"/>
      <c r="B47" s="15"/>
      <c r="C47" s="4"/>
      <c r="D47" s="59"/>
    </row>
    <row r="48" spans="1:17" x14ac:dyDescent="0.3">
      <c r="A48" s="42"/>
      <c r="C48" s="8"/>
      <c r="D48" s="114"/>
    </row>
    <row r="49" spans="1:29" s="135" customFormat="1" x14ac:dyDescent="0.3">
      <c r="A49" s="136" t="s">
        <v>186</v>
      </c>
      <c r="B49" s="131">
        <v>2025</v>
      </c>
      <c r="C49" s="7"/>
      <c r="D49" s="114"/>
      <c r="E49" s="145" t="str">
        <f xml:space="preserve"> _xlfn.CONCAT("The various estimates (e.g. Income Threholds for The Effective Tax Rate calculation, Medicare Cost, Private Med Insurance Cost) are based on Year", TEXT($B$49,"####"), " as entered in Parameter named ",$A$49)</f>
        <v>The various estimates (e.g. Income Threholds for The Effective Tax Rate calculation, Medicare Cost, Private Med Insurance Cost) are based on Year2025 as entered in Parameter named Misc Cost / Tax-bracket Estimates as of Year:</v>
      </c>
      <c r="F49" s="41"/>
      <c r="G49" s="41"/>
      <c r="H49" s="41"/>
      <c r="I49" s="41"/>
      <c r="J49" s="146"/>
      <c r="K49" s="147"/>
      <c r="L49" s="147"/>
      <c r="M49" s="148"/>
      <c r="N49" s="41"/>
      <c r="O49" s="149"/>
      <c r="P49" s="150"/>
      <c r="Q49" s="147"/>
      <c r="R49" s="41"/>
      <c r="S49" s="41"/>
      <c r="T49" s="41"/>
      <c r="U49" s="41"/>
      <c r="V49" s="41"/>
      <c r="W49" s="41"/>
      <c r="X49" s="41"/>
      <c r="Y49" s="41"/>
      <c r="Z49" s="41"/>
      <c r="AA49" s="41"/>
      <c r="AB49" s="41"/>
      <c r="AC49" s="41"/>
    </row>
    <row r="50" spans="1:29" x14ac:dyDescent="0.3">
      <c r="A50" s="42" t="s">
        <v>185</v>
      </c>
      <c r="B50" s="132">
        <f>(1+$B$45)^($B$1 - $B$49)</f>
        <v>1</v>
      </c>
      <c r="C50" s="4"/>
      <c r="D50" s="59"/>
    </row>
    <row r="51" spans="1:29" x14ac:dyDescent="0.3">
      <c r="A51" s="57" t="s">
        <v>181</v>
      </c>
      <c r="B51" s="15"/>
      <c r="C51" s="4"/>
      <c r="D51" s="59"/>
    </row>
    <row r="52" spans="1:29" x14ac:dyDescent="0.3">
      <c r="A52" s="42" t="s">
        <v>71</v>
      </c>
      <c r="B52" s="133">
        <v>15000</v>
      </c>
      <c r="C52" s="54"/>
      <c r="D52" s="129">
        <f>B52*$B$50</f>
        <v>15000</v>
      </c>
      <c r="E52" s="42" t="s">
        <v>46</v>
      </c>
    </row>
    <row r="53" spans="1:29" x14ac:dyDescent="0.3">
      <c r="A53" s="42" t="s">
        <v>37</v>
      </c>
      <c r="B53" s="133">
        <v>7500</v>
      </c>
      <c r="C53" s="54"/>
      <c r="D53" s="129">
        <f>B53*$B$50</f>
        <v>7500</v>
      </c>
      <c r="E53" s="42" t="s">
        <v>29</v>
      </c>
    </row>
    <row r="54" spans="1:29" x14ac:dyDescent="0.3">
      <c r="A54" s="42" t="s">
        <v>148</v>
      </c>
      <c r="B54" s="133">
        <v>100000</v>
      </c>
      <c r="C54" s="7"/>
      <c r="D54" s="129">
        <f>B54*$B$50</f>
        <v>100000</v>
      </c>
      <c r="E54" s="42"/>
    </row>
    <row r="55" spans="1:29" x14ac:dyDescent="0.3">
      <c r="A55" s="42" t="s">
        <v>149</v>
      </c>
      <c r="B55" s="29">
        <v>3</v>
      </c>
      <c r="C55" s="28">
        <v>3</v>
      </c>
      <c r="D55" s="60"/>
      <c r="E55" s="42"/>
    </row>
    <row r="56" spans="1:29" x14ac:dyDescent="0.3">
      <c r="A56" s="42" t="s">
        <v>150</v>
      </c>
      <c r="B56" s="29">
        <v>75</v>
      </c>
      <c r="C56" s="28">
        <v>75</v>
      </c>
      <c r="D56" s="60"/>
      <c r="E56" s="42"/>
    </row>
    <row r="57" spans="1:29" x14ac:dyDescent="0.3">
      <c r="A57" s="57" t="s">
        <v>182</v>
      </c>
    </row>
    <row r="58" spans="1:29" x14ac:dyDescent="0.3">
      <c r="A58" s="42" t="s">
        <v>65</v>
      </c>
      <c r="B58" s="7">
        <v>0.12</v>
      </c>
      <c r="D58" s="59"/>
    </row>
    <row r="59" spans="1:29" x14ac:dyDescent="0.3">
      <c r="A59" s="42" t="s">
        <v>183</v>
      </c>
      <c r="B59" s="133">
        <v>115000</v>
      </c>
      <c r="C59" s="133">
        <v>150000</v>
      </c>
      <c r="D59" s="130">
        <f>IF($B$3,C59,B59)*$B$50</f>
        <v>115000</v>
      </c>
      <c r="E59" s="4"/>
    </row>
    <row r="60" spans="1:29" x14ac:dyDescent="0.3">
      <c r="A60" s="42" t="s">
        <v>64</v>
      </c>
      <c r="B60" s="5">
        <v>0.2</v>
      </c>
      <c r="C60" s="8"/>
      <c r="D60" s="130"/>
      <c r="E60" s="14"/>
      <c r="G60"/>
    </row>
    <row r="61" spans="1:29" x14ac:dyDescent="0.3">
      <c r="A61" s="42" t="s">
        <v>184</v>
      </c>
      <c r="B61" s="133">
        <v>300000</v>
      </c>
      <c r="C61" s="134">
        <v>400000</v>
      </c>
      <c r="D61" s="130">
        <f>IF($B$3,C61,B61)*$B$50</f>
        <v>300000</v>
      </c>
      <c r="E61" s="14"/>
      <c r="G61"/>
    </row>
    <row r="62" spans="1:29" x14ac:dyDescent="0.3">
      <c r="A62" s="42" t="s">
        <v>66</v>
      </c>
      <c r="B62" s="5">
        <v>0.3</v>
      </c>
      <c r="C62" s="8"/>
      <c r="D62" s="114"/>
      <c r="E62" s="14"/>
    </row>
    <row r="63" spans="1:29" x14ac:dyDescent="0.3">
      <c r="A63" s="42"/>
      <c r="E63" s="4"/>
    </row>
    <row r="64" spans="1:29" x14ac:dyDescent="0.3">
      <c r="A64" s="57" t="s">
        <v>151</v>
      </c>
      <c r="B64" s="7"/>
      <c r="C64" s="8"/>
      <c r="D64" s="114"/>
      <c r="E64" s="2" t="s">
        <v>156</v>
      </c>
    </row>
    <row r="65" spans="1:17" x14ac:dyDescent="0.3">
      <c r="A65" s="42" t="s">
        <v>153</v>
      </c>
      <c r="B65" s="10">
        <v>1E-3</v>
      </c>
      <c r="C65" s="8"/>
      <c r="D65" s="114"/>
      <c r="E65" s="3" t="s">
        <v>154</v>
      </c>
    </row>
    <row r="66" spans="1:17" x14ac:dyDescent="0.3">
      <c r="A66" s="42" t="s">
        <v>152</v>
      </c>
      <c r="B66" s="7">
        <v>0.5</v>
      </c>
      <c r="C66" s="8"/>
      <c r="D66" s="114"/>
      <c r="E66" s="3" t="s">
        <v>155</v>
      </c>
    </row>
    <row r="67" spans="1:17" x14ac:dyDescent="0.3">
      <c r="A67" s="42" t="s">
        <v>82</v>
      </c>
      <c r="B67" s="7">
        <v>7.6499999999999999E-2</v>
      </c>
      <c r="C67" s="8"/>
      <c r="D67" s="114"/>
      <c r="E67" s="3" t="s">
        <v>176</v>
      </c>
    </row>
    <row r="68" spans="1:17" x14ac:dyDescent="0.3">
      <c r="A68" s="6"/>
      <c r="B68" s="15"/>
      <c r="C68" s="4"/>
      <c r="D68" s="59"/>
    </row>
    <row r="69" spans="1:17" s="62" customFormat="1" ht="21" x14ac:dyDescent="0.4">
      <c r="A69" s="71" t="s">
        <v>107</v>
      </c>
      <c r="B69" s="61"/>
      <c r="C69" s="59"/>
      <c r="D69" s="59"/>
      <c r="E69" s="60"/>
      <c r="J69" s="63"/>
      <c r="K69" s="59"/>
      <c r="L69" s="59"/>
      <c r="M69" s="64"/>
      <c r="O69" s="65"/>
      <c r="P69" s="66"/>
      <c r="Q69" s="59"/>
    </row>
    <row r="70" spans="1:17" s="62" customFormat="1" x14ac:dyDescent="0.3">
      <c r="A70" s="57" t="s">
        <v>109</v>
      </c>
      <c r="B70" s="151" t="s">
        <v>211</v>
      </c>
      <c r="C70" s="59"/>
      <c r="D70" s="59"/>
      <c r="E70" s="60"/>
      <c r="J70" s="63"/>
      <c r="K70" s="59"/>
      <c r="L70" s="59"/>
      <c r="M70" s="64"/>
      <c r="O70" s="65"/>
      <c r="P70" s="66"/>
      <c r="Q70" s="59"/>
    </row>
    <row r="71" spans="1:17" x14ac:dyDescent="0.3">
      <c r="A71" s="6"/>
      <c r="B71" s="39"/>
      <c r="C71" s="7"/>
      <c r="D71" s="59"/>
    </row>
    <row r="72" spans="1:17" x14ac:dyDescent="0.3">
      <c r="A72" s="20" t="s">
        <v>24</v>
      </c>
      <c r="B72" s="23">
        <f>B7+B11</f>
        <v>2035</v>
      </c>
      <c r="C72" s="23"/>
      <c r="D72" s="116"/>
    </row>
    <row r="73" spans="1:17" x14ac:dyDescent="0.3">
      <c r="A73" s="20" t="s">
        <v>25</v>
      </c>
      <c r="B73" s="23">
        <f>D7+D11</f>
        <v>2035</v>
      </c>
      <c r="C73" s="23"/>
      <c r="D73" s="116"/>
    </row>
    <row r="74" spans="1:17" x14ac:dyDescent="0.3">
      <c r="A74" s="20" t="s">
        <v>26</v>
      </c>
      <c r="B74" s="41">
        <f>MIN($B$72,$B$73)</f>
        <v>2035</v>
      </c>
      <c r="C74" s="23"/>
      <c r="D74" s="116"/>
    </row>
    <row r="75" spans="1:17" x14ac:dyDescent="0.3">
      <c r="A75" s="20" t="s">
        <v>38</v>
      </c>
      <c r="B75" s="41">
        <f>MAX($B$72,$B$73)</f>
        <v>2035</v>
      </c>
      <c r="C75" s="23"/>
      <c r="D75" s="116"/>
    </row>
    <row r="76" spans="1:17" x14ac:dyDescent="0.3">
      <c r="A76" s="20" t="s">
        <v>27</v>
      </c>
      <c r="B76" s="23">
        <f>B7+B25</f>
        <v>2035</v>
      </c>
      <c r="C76" s="23"/>
      <c r="D76" s="116"/>
    </row>
    <row r="77" spans="1:17" x14ac:dyDescent="0.3">
      <c r="A77" s="20" t="s">
        <v>28</v>
      </c>
      <c r="B77" s="23">
        <f>D7+D25</f>
        <v>2035</v>
      </c>
      <c r="C77" s="23"/>
      <c r="D77" s="116"/>
    </row>
    <row r="78" spans="1:17" x14ac:dyDescent="0.3">
      <c r="A78" t="s">
        <v>19</v>
      </c>
      <c r="B78" s="30">
        <f>MAX(B24,D24/2)*(1+0.08*(B25-67))</f>
        <v>26880</v>
      </c>
      <c r="C78" s="4"/>
      <c r="D78" s="62"/>
      <c r="E78" s="42" t="s">
        <v>93</v>
      </c>
    </row>
    <row r="79" spans="1:17" x14ac:dyDescent="0.3">
      <c r="A79" t="s">
        <v>20</v>
      </c>
      <c r="B79" s="30">
        <f>IF($B$3,MAX(D24,B24/2)*(1+0.08*(D25-67)),0)</f>
        <v>0</v>
      </c>
      <c r="C79" s="4"/>
      <c r="D79" s="62"/>
      <c r="E79" s="42" t="s">
        <v>93</v>
      </c>
    </row>
    <row r="80" spans="1:17" x14ac:dyDescent="0.3">
      <c r="A80" s="20" t="s">
        <v>172</v>
      </c>
      <c r="B80" s="109">
        <f>B72+B28</f>
        <v>2038</v>
      </c>
      <c r="C80" s="23"/>
      <c r="D80" s="116"/>
      <c r="E80" s="42"/>
    </row>
    <row r="81" spans="1:12" x14ac:dyDescent="0.3">
      <c r="A81" s="20" t="s">
        <v>173</v>
      </c>
      <c r="B81" s="109">
        <f>B73+D28</f>
        <v>2035</v>
      </c>
      <c r="C81" s="23"/>
      <c r="D81" s="116"/>
      <c r="E81" s="42"/>
    </row>
    <row r="82" spans="1:12" x14ac:dyDescent="0.3">
      <c r="A82" s="20" t="s">
        <v>59</v>
      </c>
      <c r="B82" s="109">
        <f>B80+B30</f>
        <v>2043</v>
      </c>
      <c r="C82" s="23"/>
      <c r="D82" s="116"/>
    </row>
    <row r="83" spans="1:12" x14ac:dyDescent="0.3">
      <c r="A83" s="20" t="s">
        <v>62</v>
      </c>
      <c r="B83" s="109">
        <f>B81+D30</f>
        <v>2035</v>
      </c>
      <c r="C83" s="23"/>
      <c r="D83" s="116"/>
    </row>
    <row r="84" spans="1:12" x14ac:dyDescent="0.3">
      <c r="A84" s="20" t="s">
        <v>60</v>
      </c>
      <c r="B84" s="23">
        <f>B7+B32</f>
        <v>2035</v>
      </c>
      <c r="C84" s="23"/>
      <c r="D84" s="116"/>
    </row>
    <row r="85" spans="1:12" x14ac:dyDescent="0.3">
      <c r="A85" s="20" t="s">
        <v>61</v>
      </c>
      <c r="B85" s="4">
        <f>D7+D32</f>
        <v>2035</v>
      </c>
      <c r="C85" s="8"/>
      <c r="D85" s="114"/>
      <c r="E85" s="14"/>
      <c r="G85"/>
      <c r="I85" s="9"/>
      <c r="K85" s="9"/>
      <c r="L85" s="9"/>
    </row>
    <row r="86" spans="1:12" x14ac:dyDescent="0.3">
      <c r="A86" s="20" t="s">
        <v>67</v>
      </c>
      <c r="B86" s="4">
        <f>B7+65</f>
        <v>2035</v>
      </c>
      <c r="C86" s="8"/>
      <c r="D86" s="114"/>
      <c r="E86" s="14"/>
      <c r="G86"/>
      <c r="I86" s="9"/>
      <c r="K86" s="9"/>
      <c r="L86" s="9"/>
    </row>
    <row r="87" spans="1:12" x14ac:dyDescent="0.3">
      <c r="A87" s="20" t="s">
        <v>68</v>
      </c>
      <c r="B87" s="4">
        <f>D7+65</f>
        <v>2035</v>
      </c>
      <c r="C87" s="8"/>
      <c r="D87" s="114"/>
      <c r="E87" s="14"/>
      <c r="G87"/>
      <c r="I87" s="9"/>
      <c r="K87" s="9"/>
      <c r="L87" s="9"/>
    </row>
    <row r="88" spans="1:12" x14ac:dyDescent="0.3">
      <c r="A88" s="20"/>
      <c r="C88" s="8"/>
      <c r="D88" s="114"/>
      <c r="E88" s="14"/>
      <c r="G88"/>
      <c r="I88" s="9"/>
      <c r="K88" s="9"/>
      <c r="L88" s="9"/>
    </row>
    <row r="89" spans="1:12" x14ac:dyDescent="0.3">
      <c r="A89" t="s">
        <v>213</v>
      </c>
      <c r="B89" s="74">
        <f>SUM(Investments!$C$3:$C$202)</f>
        <v>1250000</v>
      </c>
      <c r="C89" s="7"/>
      <c r="D89" s="59"/>
      <c r="E89" s="42"/>
    </row>
    <row r="90" spans="1:12" x14ac:dyDescent="0.3">
      <c r="B90" s="19"/>
      <c r="C90" s="8"/>
      <c r="D90" s="114"/>
      <c r="E90" s="14"/>
      <c r="G90"/>
    </row>
    <row r="91" spans="1:12" x14ac:dyDescent="0.3">
      <c r="B91" s="19"/>
      <c r="C91" s="8"/>
      <c r="D91" s="114"/>
      <c r="E91" s="14"/>
      <c r="G91"/>
    </row>
    <row r="92" spans="1:12" x14ac:dyDescent="0.3">
      <c r="A92" s="44" t="s">
        <v>87</v>
      </c>
      <c r="B92" s="19"/>
      <c r="C92" s="8"/>
      <c r="D92" s="114"/>
      <c r="E92" s="14"/>
    </row>
    <row r="93" spans="1:12" x14ac:dyDescent="0.3">
      <c r="A93" t="s">
        <v>88</v>
      </c>
      <c r="B93" s="3">
        <f ca="1">SUMIFS(Expenses!$D$1:$D$115,Expenses!$E$1:$E$115,"&lt;="&amp;YEAR(TODAY()))</f>
        <v>105000</v>
      </c>
      <c r="E93" s="11"/>
    </row>
    <row r="94" spans="1:12" x14ac:dyDescent="0.3">
      <c r="A94" t="s">
        <v>89</v>
      </c>
      <c r="B94" s="3">
        <f ca="1">SUMIFS(Expenses!$D$1:$D$115,Expenses!$E$1:$E$115,"&lt;="&amp;YEAR(TODAY()),Expenses!$F$1:$F$115,"=9999")</f>
        <v>75000</v>
      </c>
    </row>
    <row r="95" spans="1:12" x14ac:dyDescent="0.3">
      <c r="A95" t="s">
        <v>90</v>
      </c>
      <c r="B95" s="3">
        <f ca="1">SUMIFS(Expenses!$D$1:$D$115,Expenses!$E$1:$E$115,"&gt;"&amp;YEAR(TODAY()))</f>
        <v>122500</v>
      </c>
    </row>
    <row r="96" spans="1:12" ht="15" thickBot="1" x14ac:dyDescent="0.35">
      <c r="A96" t="s">
        <v>91</v>
      </c>
      <c r="B96" s="3">
        <f ca="1">SUMIFS(Expenses!$D$1:$D$115,Expenses!$E$1:$E$115,"&gt;"&amp;YEAR(TODAY()),Expenses!$F$1:$F$115,"=9999")</f>
        <v>7500</v>
      </c>
    </row>
    <row r="97" spans="1:8" ht="15" thickBot="1" x14ac:dyDescent="0.35">
      <c r="A97" s="24" t="s">
        <v>92</v>
      </c>
      <c r="B97" s="53">
        <f>SUM(Expenses!$D$1:$D$115)</f>
        <v>227500</v>
      </c>
      <c r="C97" s="25"/>
      <c r="D97" s="117"/>
      <c r="E97" s="25"/>
      <c r="F97" s="25"/>
      <c r="G97" s="25"/>
      <c r="H97" s="25"/>
    </row>
    <row r="98" spans="1:8" ht="15" thickBot="1" x14ac:dyDescent="0.35">
      <c r="A98" s="24" t="s">
        <v>106</v>
      </c>
      <c r="B98" s="56">
        <v>0.1</v>
      </c>
      <c r="C98" s="25"/>
      <c r="D98" s="117"/>
      <c r="E98" s="25"/>
      <c r="F98" s="25"/>
      <c r="G98" s="25"/>
      <c r="H98" s="25"/>
    </row>
    <row r="99" spans="1:8" ht="15" thickBot="1" x14ac:dyDescent="0.35">
      <c r="A99" s="24"/>
      <c r="B99" s="25"/>
      <c r="C99" s="25"/>
      <c r="D99" s="117"/>
      <c r="E99" s="25"/>
      <c r="F99" s="25"/>
      <c r="G99" s="25"/>
      <c r="H99" s="25"/>
    </row>
    <row r="100" spans="1:8" ht="15" thickBot="1" x14ac:dyDescent="0.35">
      <c r="A100" s="24"/>
      <c r="B100" s="25"/>
      <c r="C100" s="25"/>
      <c r="D100" s="117"/>
      <c r="E100" s="25"/>
      <c r="F100" s="25"/>
      <c r="G100" s="25"/>
      <c r="H100" s="25"/>
    </row>
    <row r="101" spans="1:8" ht="15" thickBot="1" x14ac:dyDescent="0.35">
      <c r="A101" s="24"/>
      <c r="B101" s="25"/>
      <c r="C101" s="25"/>
      <c r="D101" s="117"/>
      <c r="E101" s="25"/>
      <c r="F101" s="25"/>
      <c r="G101" s="25"/>
      <c r="H101" s="25"/>
    </row>
    <row r="102" spans="1:8" ht="15" thickBot="1" x14ac:dyDescent="0.35">
      <c r="A102" s="153" t="s">
        <v>121</v>
      </c>
      <c r="B102" s="154"/>
      <c r="C102" s="154"/>
      <c r="D102" s="154"/>
      <c r="E102" s="154"/>
      <c r="F102" s="154"/>
      <c r="G102" s="154"/>
      <c r="H102" s="155"/>
    </row>
    <row r="103" spans="1:8" x14ac:dyDescent="0.3">
      <c r="A103" s="92" t="s">
        <v>122</v>
      </c>
      <c r="B103" s="35" t="s">
        <v>123</v>
      </c>
      <c r="C103"/>
      <c r="D103" s="72"/>
      <c r="E103"/>
      <c r="F103"/>
      <c r="G103"/>
      <c r="H103"/>
    </row>
    <row r="104" spans="1:8" x14ac:dyDescent="0.3">
      <c r="A104" s="93" t="s">
        <v>124</v>
      </c>
      <c r="B104" s="34">
        <v>12</v>
      </c>
      <c r="C104"/>
      <c r="D104" s="72"/>
      <c r="E104"/>
      <c r="F104"/>
      <c r="G104"/>
      <c r="H104"/>
    </row>
    <row r="105" spans="1:8" x14ac:dyDescent="0.3">
      <c r="A105" s="94" t="s">
        <v>14</v>
      </c>
      <c r="B105" s="95">
        <v>1</v>
      </c>
    </row>
    <row r="106" spans="1:8" x14ac:dyDescent="0.3">
      <c r="A106" s="94" t="s">
        <v>125</v>
      </c>
      <c r="B106" s="95">
        <v>52</v>
      </c>
    </row>
    <row r="107" spans="1:8" x14ac:dyDescent="0.3">
      <c r="A107" s="94" t="s">
        <v>138</v>
      </c>
      <c r="B107" s="34">
        <v>26</v>
      </c>
    </row>
    <row r="108" spans="1:8" x14ac:dyDescent="0.3">
      <c r="A108" s="94" t="s">
        <v>126</v>
      </c>
      <c r="B108" s="34">
        <v>4</v>
      </c>
    </row>
    <row r="109" spans="1:8" x14ac:dyDescent="0.3">
      <c r="A109" s="94" t="s">
        <v>127</v>
      </c>
      <c r="B109" s="34">
        <v>2</v>
      </c>
    </row>
  </sheetData>
  <scenarios current="2" show="2">
    <scenario name="Normal" locked="1" count="1" user="Author">
      <inputCells r="B11" undone="1" val="0.025" numFmtId="10"/>
    </scenario>
    <scenario name="Lucky" locked="1" count="1" user="Author">
      <inputCells r="B11" undone="1" val="0.02" numFmtId="10"/>
    </scenario>
    <scenario name="ToughDays" locked="1" count="1" user="Author">
      <inputCells r="B11" undone="1" val="0.035" numFmtId="10"/>
    </scenario>
    <scenario name="Sub-normal" locked="1" count="1" user="Author">
      <inputCells r="B11" undone="1" val="0.03" numFmtId="10"/>
    </scenario>
  </scenarios>
  <mergeCells count="1">
    <mergeCell ref="A102:H102"/>
  </mergeCells>
  <phoneticPr fontId="22" type="noConversion"/>
  <conditionalFormatting sqref="B34">
    <cfRule type="colorScale" priority="10">
      <colorScale>
        <cfvo type="num" val="75"/>
        <cfvo type="num" val="90"/>
        <cfvo type="num" val="91"/>
        <color rgb="FFC00000"/>
        <color rgb="FF00B0F0"/>
        <color theme="9" tint="-0.249977111117893"/>
      </colorScale>
    </cfRule>
  </conditionalFormatting>
  <conditionalFormatting sqref="C7">
    <cfRule type="expression" dxfId="12" priority="528">
      <formula>$B$3=FALSE</formula>
    </cfRule>
    <cfRule type="expression" dxfId="11" priority="529">
      <formula>$B$3=TRUE</formula>
    </cfRule>
  </conditionalFormatting>
  <conditionalFormatting sqref="C10:C11 C24:C25 C28:C32">
    <cfRule type="expression" dxfId="10" priority="522">
      <formula>$B$3=FALSE</formula>
    </cfRule>
    <cfRule type="expression" dxfId="9" priority="523">
      <formula>$B$3=TRUE</formula>
    </cfRule>
  </conditionalFormatting>
  <conditionalFormatting sqref="C37">
    <cfRule type="expression" dxfId="8" priority="3">
      <formula>$B$3=FALSE</formula>
    </cfRule>
    <cfRule type="expression" dxfId="7" priority="4">
      <formula>$B$3=TRUE</formula>
    </cfRule>
  </conditionalFormatting>
  <conditionalFormatting sqref="C55:C56">
    <cfRule type="expression" dxfId="6" priority="1">
      <formula>$B$3=FALSE</formula>
    </cfRule>
    <cfRule type="expression" dxfId="5" priority="2">
      <formula>$B$3=TRUE</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8AA05-89EC-437B-994B-69EBBB892B43}">
  <sheetPr codeName="Sheet13"/>
  <dimension ref="A1:L76"/>
  <sheetViews>
    <sheetView zoomScaleNormal="100" workbookViewId="0">
      <pane ySplit="1" topLeftCell="A2" activePane="bottomLeft" state="frozen"/>
      <selection activeCell="B40" sqref="B40"/>
      <selection pane="bottomLeft" activeCell="A27" sqref="A27"/>
    </sheetView>
  </sheetViews>
  <sheetFormatPr defaultRowHeight="14.4" x14ac:dyDescent="0.3"/>
  <cols>
    <col min="1" max="1" width="57.109375" customWidth="1"/>
    <col min="3" max="3" width="21.109375" style="13" customWidth="1"/>
    <col min="4" max="4" width="16.6640625" hidden="1" customWidth="1"/>
    <col min="5" max="5" width="22.88671875" style="22" hidden="1" customWidth="1"/>
    <col min="6" max="6" width="55.6640625" customWidth="1"/>
    <col min="7" max="7" width="13.33203125" style="13" hidden="1" customWidth="1"/>
    <col min="8" max="8" width="13.33203125" customWidth="1"/>
  </cols>
  <sheetData>
    <row r="1" spans="1:12" s="57" customFormat="1" ht="18" x14ac:dyDescent="0.35">
      <c r="A1" s="67" t="s">
        <v>30</v>
      </c>
      <c r="B1" s="57" t="s">
        <v>1</v>
      </c>
      <c r="C1" s="97" t="s">
        <v>145</v>
      </c>
      <c r="E1" s="96"/>
      <c r="F1" s="57" t="s">
        <v>0</v>
      </c>
      <c r="G1" s="97" t="s">
        <v>6</v>
      </c>
    </row>
    <row r="2" spans="1:12" s="12" customFormat="1" ht="18" x14ac:dyDescent="0.35">
      <c r="A2" s="103"/>
      <c r="C2" s="48"/>
      <c r="E2" s="46"/>
      <c r="G2" s="48"/>
    </row>
    <row r="3" spans="1:12" s="12" customFormat="1" x14ac:dyDescent="0.3">
      <c r="A3" s="42" t="s">
        <v>36</v>
      </c>
      <c r="C3" s="48"/>
      <c r="E3" s="46"/>
      <c r="G3" s="48"/>
    </row>
    <row r="4" spans="1:12" s="12" customFormat="1" x14ac:dyDescent="0.3">
      <c r="A4" s="42"/>
      <c r="C4" s="48"/>
      <c r="E4" s="46"/>
      <c r="G4" s="48"/>
    </row>
    <row r="5" spans="1:12" s="57" customFormat="1" x14ac:dyDescent="0.3">
      <c r="A5" s="57" t="s">
        <v>222</v>
      </c>
      <c r="C5" s="97" t="s">
        <v>141</v>
      </c>
      <c r="E5" s="96"/>
      <c r="G5" s="97"/>
    </row>
    <row r="6" spans="1:12" s="4" customFormat="1" x14ac:dyDescent="0.3">
      <c r="A6" s="28" t="s">
        <v>217</v>
      </c>
      <c r="B6" s="100" t="s">
        <v>2</v>
      </c>
      <c r="C6" s="98">
        <v>0</v>
      </c>
      <c r="D6" s="54">
        <v>9999</v>
      </c>
      <c r="E6" s="101">
        <v>0</v>
      </c>
      <c r="F6" s="14"/>
      <c r="G6" s="7">
        <v>980</v>
      </c>
      <c r="H6" s="16"/>
      <c r="J6" s="17"/>
      <c r="K6" s="18"/>
      <c r="L6" s="7"/>
    </row>
    <row r="7" spans="1:12" s="4" customFormat="1" x14ac:dyDescent="0.3">
      <c r="A7" s="28" t="s">
        <v>218</v>
      </c>
      <c r="B7" s="100" t="s">
        <v>2</v>
      </c>
      <c r="C7" s="98">
        <v>0</v>
      </c>
      <c r="D7" s="54">
        <v>9999</v>
      </c>
      <c r="E7" s="101">
        <v>0</v>
      </c>
      <c r="F7" s="14"/>
      <c r="G7" s="7">
        <v>1</v>
      </c>
      <c r="H7" s="16"/>
      <c r="J7" s="17"/>
      <c r="K7" s="18"/>
      <c r="L7" s="7"/>
    </row>
    <row r="8" spans="1:12" s="4" customFormat="1" x14ac:dyDescent="0.3">
      <c r="A8" s="28" t="s">
        <v>219</v>
      </c>
      <c r="B8" s="100" t="s">
        <v>2</v>
      </c>
      <c r="C8" s="98">
        <v>0</v>
      </c>
      <c r="D8" s="54">
        <v>9999</v>
      </c>
      <c r="E8" s="101">
        <v>0</v>
      </c>
      <c r="F8" s="14"/>
      <c r="G8" s="7">
        <v>1</v>
      </c>
      <c r="H8" s="16"/>
      <c r="J8" s="17"/>
      <c r="K8" s="18"/>
      <c r="L8" s="7"/>
    </row>
    <row r="9" spans="1:12" s="4" customFormat="1" x14ac:dyDescent="0.3">
      <c r="A9" s="28" t="s">
        <v>220</v>
      </c>
      <c r="B9" s="100" t="s">
        <v>2</v>
      </c>
      <c r="C9" s="98">
        <v>0</v>
      </c>
      <c r="D9" s="54">
        <v>9999</v>
      </c>
      <c r="E9" s="101">
        <v>0</v>
      </c>
      <c r="F9" s="3"/>
      <c r="G9" s="7">
        <v>1</v>
      </c>
      <c r="H9" s="16"/>
      <c r="J9" s="17"/>
      <c r="K9" s="18"/>
      <c r="L9" s="7"/>
    </row>
    <row r="10" spans="1:12" s="4" customFormat="1" x14ac:dyDescent="0.3">
      <c r="A10" s="28" t="s">
        <v>221</v>
      </c>
      <c r="B10" s="100" t="s">
        <v>2</v>
      </c>
      <c r="C10" s="98">
        <v>0</v>
      </c>
      <c r="D10" s="54">
        <v>9999</v>
      </c>
      <c r="E10" s="101">
        <v>0</v>
      </c>
      <c r="F10" s="3"/>
      <c r="G10" s="7">
        <v>1</v>
      </c>
      <c r="H10" s="16"/>
      <c r="J10" s="17"/>
      <c r="K10" s="18"/>
      <c r="L10" s="7"/>
    </row>
    <row r="11" spans="1:12" s="4" customFormat="1" x14ac:dyDescent="0.3">
      <c r="A11"/>
      <c r="B11" s="15"/>
      <c r="C11" s="16"/>
      <c r="E11" s="18"/>
      <c r="F11" s="3"/>
      <c r="G11" s="7"/>
      <c r="H11" s="16"/>
      <c r="J11" s="17"/>
      <c r="K11" s="18"/>
      <c r="L11" s="7"/>
    </row>
    <row r="12" spans="1:12" s="4" customFormat="1" hidden="1" x14ac:dyDescent="0.3">
      <c r="A12"/>
      <c r="B12" s="15"/>
      <c r="C12" s="16"/>
      <c r="E12" s="18"/>
      <c r="F12" s="3"/>
      <c r="G12" s="7"/>
      <c r="H12" s="16"/>
      <c r="J12" s="17"/>
      <c r="K12" s="18"/>
      <c r="L12" s="7"/>
    </row>
    <row r="13" spans="1:12" s="57" customFormat="1" hidden="1" x14ac:dyDescent="0.3">
      <c r="A13" s="57" t="s">
        <v>35</v>
      </c>
      <c r="C13" s="97" t="s">
        <v>141</v>
      </c>
      <c r="D13" s="57" t="s">
        <v>16</v>
      </c>
      <c r="E13" s="96"/>
      <c r="G13" s="97"/>
    </row>
    <row r="14" spans="1:12" s="4" customFormat="1" hidden="1" x14ac:dyDescent="0.3">
      <c r="A14" t="s">
        <v>34</v>
      </c>
      <c r="B14" s="100" t="s">
        <v>5</v>
      </c>
      <c r="C14" s="98">
        <v>0</v>
      </c>
      <c r="D14" s="29">
        <v>2027</v>
      </c>
      <c r="E14" s="101">
        <v>0</v>
      </c>
      <c r="F14" s="14"/>
      <c r="G14" s="7">
        <v>980</v>
      </c>
      <c r="H14" s="16"/>
      <c r="J14" s="17"/>
      <c r="K14" s="18"/>
      <c r="L14" s="7"/>
    </row>
    <row r="15" spans="1:12" s="4" customFormat="1" hidden="1" x14ac:dyDescent="0.3">
      <c r="A15" t="s">
        <v>15</v>
      </c>
      <c r="B15" s="100" t="s">
        <v>5</v>
      </c>
      <c r="C15" s="98">
        <v>0</v>
      </c>
      <c r="D15" s="29">
        <v>2035</v>
      </c>
      <c r="E15" s="101">
        <v>0</v>
      </c>
      <c r="F15" s="14"/>
      <c r="G15" s="7">
        <v>1</v>
      </c>
      <c r="H15" s="16"/>
      <c r="J15" s="17"/>
      <c r="K15" s="18"/>
      <c r="L15" s="7"/>
    </row>
    <row r="16" spans="1:12" s="4" customFormat="1" hidden="1" x14ac:dyDescent="0.3">
      <c r="A16" t="s">
        <v>17</v>
      </c>
      <c r="B16" s="100" t="s">
        <v>5</v>
      </c>
      <c r="C16" s="98">
        <v>0</v>
      </c>
      <c r="D16" s="29">
        <v>2029</v>
      </c>
      <c r="E16" s="101">
        <v>0</v>
      </c>
      <c r="F16" s="14"/>
      <c r="G16" s="7">
        <v>1</v>
      </c>
      <c r="H16" s="16"/>
      <c r="J16" s="17"/>
      <c r="K16" s="18"/>
      <c r="L16" s="7"/>
    </row>
    <row r="17" spans="1:12" s="4" customFormat="1" hidden="1" x14ac:dyDescent="0.3">
      <c r="A17" t="s">
        <v>142</v>
      </c>
      <c r="B17" s="100" t="s">
        <v>5</v>
      </c>
      <c r="C17" s="98">
        <v>0</v>
      </c>
      <c r="D17" s="29">
        <v>2032</v>
      </c>
      <c r="E17" s="101">
        <v>0</v>
      </c>
      <c r="F17" s="3"/>
      <c r="G17" s="7">
        <v>1</v>
      </c>
      <c r="H17" s="16"/>
      <c r="J17" s="17"/>
      <c r="K17" s="18"/>
      <c r="L17" s="7"/>
    </row>
    <row r="18" spans="1:12" s="4" customFormat="1" hidden="1" x14ac:dyDescent="0.3">
      <c r="A18"/>
      <c r="B18" s="15"/>
      <c r="C18" s="16"/>
      <c r="E18" s="18"/>
      <c r="F18" s="3"/>
      <c r="G18" s="7"/>
      <c r="H18" s="16"/>
      <c r="J18" s="17"/>
      <c r="K18" s="18"/>
      <c r="L18" s="7"/>
    </row>
    <row r="19" spans="1:12" s="4" customFormat="1" hidden="1" x14ac:dyDescent="0.3">
      <c r="A19"/>
      <c r="B19" s="15"/>
      <c r="C19" s="16"/>
      <c r="E19" s="18"/>
      <c r="F19" s="3"/>
      <c r="G19" s="7"/>
      <c r="H19" s="16"/>
      <c r="J19" s="17"/>
      <c r="K19" s="18"/>
      <c r="L19" s="7"/>
    </row>
    <row r="20" spans="1:12" s="4" customFormat="1" hidden="1" x14ac:dyDescent="0.3">
      <c r="A20"/>
      <c r="B20" s="15"/>
      <c r="C20" s="16"/>
      <c r="E20" s="18"/>
      <c r="F20" s="3"/>
      <c r="G20" s="7"/>
      <c r="H20" s="16"/>
      <c r="J20" s="17"/>
      <c r="K20" s="18"/>
      <c r="L20" s="7"/>
    </row>
    <row r="21" spans="1:12" s="4" customFormat="1" x14ac:dyDescent="0.3">
      <c r="A21"/>
      <c r="B21" s="15"/>
      <c r="C21" s="16"/>
      <c r="E21" s="18"/>
      <c r="F21" s="3"/>
      <c r="G21" s="7"/>
      <c r="H21" s="16"/>
      <c r="J21" s="17"/>
      <c r="K21" s="18"/>
      <c r="L21" s="7"/>
    </row>
    <row r="22" spans="1:12" s="57" customFormat="1" x14ac:dyDescent="0.3">
      <c r="A22" s="57" t="s">
        <v>214</v>
      </c>
      <c r="C22" s="97" t="s">
        <v>141</v>
      </c>
      <c r="E22" s="96" t="s">
        <v>18</v>
      </c>
      <c r="G22" s="97"/>
    </row>
    <row r="23" spans="1:12" s="4" customFormat="1" x14ac:dyDescent="0.3">
      <c r="A23" t="s">
        <v>223</v>
      </c>
      <c r="B23" s="100" t="s">
        <v>4</v>
      </c>
      <c r="C23" s="98">
        <v>500000</v>
      </c>
      <c r="D23" s="54">
        <v>9999</v>
      </c>
      <c r="E23" s="102">
        <v>0</v>
      </c>
      <c r="F23" s="3" t="s">
        <v>146</v>
      </c>
      <c r="G23" s="7">
        <v>1</v>
      </c>
      <c r="H23" s="16"/>
      <c r="J23" s="17"/>
      <c r="K23" s="18"/>
      <c r="L23" s="7"/>
    </row>
    <row r="24" spans="1:12" s="4" customFormat="1" x14ac:dyDescent="0.3">
      <c r="A24" t="s">
        <v>224</v>
      </c>
      <c r="B24" s="100" t="s">
        <v>4</v>
      </c>
      <c r="C24" s="98">
        <v>750000</v>
      </c>
      <c r="D24" s="54">
        <v>9999</v>
      </c>
      <c r="E24" s="102">
        <v>0</v>
      </c>
      <c r="F24" s="3"/>
      <c r="G24" s="7">
        <v>1</v>
      </c>
      <c r="H24" s="16"/>
      <c r="J24" s="17"/>
      <c r="K24" s="18"/>
      <c r="L24" s="7"/>
    </row>
    <row r="25" spans="1:12" s="4" customFormat="1" x14ac:dyDescent="0.3">
      <c r="A25" t="s">
        <v>225</v>
      </c>
      <c r="B25" s="100" t="s">
        <v>4</v>
      </c>
      <c r="C25" s="98">
        <v>0</v>
      </c>
      <c r="D25" s="54">
        <v>9999</v>
      </c>
      <c r="E25" s="102">
        <v>0</v>
      </c>
      <c r="F25" s="3"/>
      <c r="G25" s="7"/>
      <c r="H25" s="16"/>
      <c r="J25" s="17"/>
      <c r="K25" s="18"/>
      <c r="L25" s="7"/>
    </row>
    <row r="26" spans="1:12" s="4" customFormat="1" x14ac:dyDescent="0.3">
      <c r="A26" t="s">
        <v>143</v>
      </c>
      <c r="B26" s="100" t="s">
        <v>4</v>
      </c>
      <c r="C26" s="98">
        <v>0</v>
      </c>
      <c r="D26" s="54">
        <v>9999</v>
      </c>
      <c r="E26" s="102">
        <v>0</v>
      </c>
      <c r="F26" s="14"/>
      <c r="G26" s="7"/>
      <c r="H26" s="16"/>
      <c r="J26" s="17"/>
      <c r="K26" s="18"/>
      <c r="L26" s="7"/>
    </row>
    <row r="27" spans="1:12" s="4" customFormat="1" x14ac:dyDescent="0.3">
      <c r="A27" t="s">
        <v>144</v>
      </c>
      <c r="B27" s="100" t="s">
        <v>4</v>
      </c>
      <c r="C27" s="98">
        <v>0</v>
      </c>
      <c r="D27" s="54">
        <v>9999</v>
      </c>
      <c r="E27" s="102">
        <v>0</v>
      </c>
      <c r="F27" s="14"/>
      <c r="G27" s="7"/>
      <c r="H27" s="16"/>
      <c r="J27" s="17"/>
      <c r="K27" s="18"/>
      <c r="L27" s="7"/>
    </row>
    <row r="28" spans="1:12" s="4" customFormat="1" x14ac:dyDescent="0.3">
      <c r="A28"/>
      <c r="B28" s="15"/>
      <c r="C28" s="16"/>
      <c r="E28" s="18"/>
      <c r="F28" s="14"/>
      <c r="G28" s="7"/>
      <c r="H28" s="16"/>
      <c r="J28" s="17"/>
      <c r="K28" s="18"/>
      <c r="L28" s="7"/>
    </row>
    <row r="29" spans="1:12" s="4" customFormat="1" x14ac:dyDescent="0.3">
      <c r="A29"/>
      <c r="B29" s="15"/>
      <c r="C29" s="16"/>
      <c r="E29" s="18"/>
      <c r="F29" s="14"/>
      <c r="G29" s="7"/>
      <c r="H29" s="16"/>
      <c r="J29" s="17"/>
      <c r="K29" s="18"/>
      <c r="L29" s="7"/>
    </row>
    <row r="30" spans="1:12" s="4" customFormat="1" x14ac:dyDescent="0.3">
      <c r="A30"/>
      <c r="B30" s="15"/>
      <c r="C30" s="16"/>
      <c r="E30" s="18"/>
      <c r="F30" s="14"/>
      <c r="G30" s="7"/>
      <c r="H30" s="16"/>
      <c r="J30" s="17"/>
      <c r="K30" s="18"/>
      <c r="L30" s="7"/>
    </row>
    <row r="31" spans="1:12" s="4" customFormat="1" x14ac:dyDescent="0.3">
      <c r="A31"/>
      <c r="B31" s="15"/>
      <c r="C31" s="16"/>
      <c r="E31" s="18"/>
      <c r="F31" s="14"/>
      <c r="G31" s="7"/>
      <c r="H31" s="16"/>
      <c r="J31" s="17"/>
      <c r="K31" s="18"/>
      <c r="L31" s="7"/>
    </row>
    <row r="32" spans="1:12" s="4" customFormat="1" x14ac:dyDescent="0.3">
      <c r="A32"/>
      <c r="B32" s="15"/>
      <c r="C32" s="16"/>
      <c r="E32" s="18"/>
      <c r="F32" s="14"/>
      <c r="G32" s="7"/>
      <c r="H32" s="16"/>
      <c r="J32" s="17"/>
      <c r="K32" s="18"/>
      <c r="L32" s="7"/>
    </row>
    <row r="33" spans="1:12" s="4" customFormat="1" x14ac:dyDescent="0.3">
      <c r="A33"/>
      <c r="B33" s="15"/>
      <c r="C33" s="16"/>
      <c r="E33" s="18"/>
      <c r="F33" s="14"/>
      <c r="G33" s="7"/>
      <c r="H33" s="16"/>
      <c r="J33" s="17"/>
      <c r="K33" s="18"/>
      <c r="L33" s="7"/>
    </row>
    <row r="34" spans="1:12" s="4" customFormat="1" x14ac:dyDescent="0.3">
      <c r="A34"/>
      <c r="B34" s="15"/>
      <c r="C34" s="16"/>
      <c r="E34" s="18"/>
      <c r="F34" s="14"/>
      <c r="G34" s="7"/>
      <c r="H34" s="16"/>
      <c r="J34" s="17"/>
      <c r="K34" s="18"/>
      <c r="L34" s="7"/>
    </row>
    <row r="35" spans="1:12" s="4" customFormat="1" x14ac:dyDescent="0.3">
      <c r="A35"/>
      <c r="B35" s="15"/>
      <c r="C35" s="16"/>
      <c r="E35" s="18"/>
      <c r="F35" s="14"/>
      <c r="G35" s="7"/>
      <c r="H35" s="16"/>
      <c r="J35" s="17"/>
      <c r="K35" s="18"/>
      <c r="L35" s="7"/>
    </row>
    <row r="36" spans="1:12" s="4" customFormat="1" x14ac:dyDescent="0.3">
      <c r="A36"/>
      <c r="B36" s="15"/>
      <c r="C36" s="16"/>
      <c r="E36" s="18"/>
      <c r="F36" s="14"/>
      <c r="G36" s="7"/>
      <c r="H36" s="16"/>
      <c r="J36" s="17"/>
      <c r="K36" s="18"/>
      <c r="L36" s="7"/>
    </row>
    <row r="37" spans="1:12" s="4" customFormat="1" x14ac:dyDescent="0.3">
      <c r="A37"/>
      <c r="B37" s="15"/>
      <c r="C37" s="16"/>
      <c r="E37" s="18"/>
      <c r="F37" s="14"/>
      <c r="G37" s="7"/>
      <c r="H37" s="16"/>
      <c r="J37" s="17"/>
      <c r="K37" s="18"/>
      <c r="L37" s="7"/>
    </row>
    <row r="38" spans="1:12" s="4" customFormat="1" x14ac:dyDescent="0.3">
      <c r="A38"/>
      <c r="B38" s="15"/>
      <c r="C38" s="16"/>
      <c r="E38" s="18"/>
      <c r="F38" s="14"/>
      <c r="G38" s="7"/>
      <c r="H38" s="16"/>
      <c r="J38" s="17"/>
      <c r="K38" s="18"/>
      <c r="L38" s="7"/>
    </row>
    <row r="39" spans="1:12" s="4" customFormat="1" x14ac:dyDescent="0.3">
      <c r="A39"/>
      <c r="B39" s="15"/>
      <c r="C39" s="16"/>
      <c r="E39" s="18"/>
      <c r="F39" s="14"/>
      <c r="G39" s="7"/>
      <c r="H39" s="16"/>
      <c r="J39" s="17"/>
      <c r="K39" s="18"/>
      <c r="L39" s="7"/>
    </row>
    <row r="40" spans="1:12" s="4" customFormat="1" x14ac:dyDescent="0.3">
      <c r="A40"/>
      <c r="B40" s="15"/>
      <c r="C40" s="16"/>
      <c r="E40" s="18"/>
      <c r="F40" s="14"/>
      <c r="G40" s="7"/>
      <c r="H40" s="16"/>
      <c r="J40" s="17"/>
      <c r="K40" s="18"/>
      <c r="L40" s="7"/>
    </row>
    <row r="41" spans="1:12" s="4" customFormat="1" x14ac:dyDescent="0.3">
      <c r="A41"/>
      <c r="B41" s="15"/>
      <c r="C41" s="16"/>
      <c r="E41" s="18"/>
      <c r="F41" s="14"/>
      <c r="G41" s="7"/>
      <c r="H41" s="16"/>
      <c r="J41" s="17"/>
      <c r="K41" s="18"/>
      <c r="L41" s="7"/>
    </row>
    <row r="42" spans="1:12" s="4" customFormat="1" x14ac:dyDescent="0.3">
      <c r="A42"/>
      <c r="B42" s="15"/>
      <c r="C42" s="16"/>
      <c r="E42" s="18"/>
      <c r="F42" s="14"/>
      <c r="G42" s="7"/>
      <c r="H42" s="16"/>
      <c r="J42" s="17"/>
      <c r="K42" s="18"/>
      <c r="L42" s="7"/>
    </row>
    <row r="43" spans="1:12" s="4" customFormat="1" x14ac:dyDescent="0.3">
      <c r="A43"/>
      <c r="B43" s="15"/>
      <c r="C43" s="16"/>
      <c r="E43" s="18"/>
      <c r="F43" s="14"/>
      <c r="G43" s="7"/>
      <c r="H43" s="16"/>
      <c r="J43" s="17"/>
      <c r="K43" s="18"/>
      <c r="L43" s="7"/>
    </row>
    <row r="44" spans="1:12" s="4" customFormat="1" x14ac:dyDescent="0.3">
      <c r="A44"/>
      <c r="B44" s="15"/>
      <c r="C44" s="16"/>
      <c r="E44" s="18"/>
      <c r="F44" s="14"/>
      <c r="G44" s="7"/>
      <c r="H44" s="16"/>
      <c r="J44" s="17"/>
      <c r="K44" s="18"/>
      <c r="L44" s="7"/>
    </row>
    <row r="45" spans="1:12" s="4" customFormat="1" x14ac:dyDescent="0.3">
      <c r="A45"/>
      <c r="B45" s="15"/>
      <c r="C45" s="16"/>
      <c r="E45" s="18"/>
      <c r="F45" s="14"/>
      <c r="G45" s="7"/>
      <c r="H45" s="16"/>
      <c r="J45" s="17"/>
      <c r="K45" s="18"/>
      <c r="L45" s="7"/>
    </row>
    <row r="46" spans="1:12" s="4" customFormat="1" x14ac:dyDescent="0.3">
      <c r="A46"/>
      <c r="B46" s="15"/>
      <c r="C46" s="16"/>
      <c r="E46" s="18"/>
      <c r="F46" s="14"/>
      <c r="G46" s="7"/>
      <c r="H46" s="16"/>
      <c r="J46" s="17"/>
      <c r="K46" s="18"/>
      <c r="L46" s="7"/>
    </row>
    <row r="47" spans="1:12" s="4" customFormat="1" x14ac:dyDescent="0.3">
      <c r="A47"/>
      <c r="B47" s="15"/>
      <c r="C47" s="16"/>
      <c r="E47" s="18"/>
      <c r="F47" s="14"/>
      <c r="G47" s="7"/>
      <c r="H47" s="16"/>
      <c r="J47" s="17"/>
      <c r="K47" s="18"/>
      <c r="L47" s="7"/>
    </row>
    <row r="48" spans="1:12" s="4" customFormat="1" x14ac:dyDescent="0.3">
      <c r="A48"/>
      <c r="B48" s="15"/>
      <c r="C48" s="16"/>
      <c r="E48" s="18"/>
      <c r="F48" s="14"/>
      <c r="G48" s="7"/>
      <c r="H48" s="16"/>
      <c r="J48" s="17"/>
      <c r="K48" s="18"/>
      <c r="L48" s="7"/>
    </row>
    <row r="49" spans="1:12" s="4" customFormat="1" x14ac:dyDescent="0.3">
      <c r="A49"/>
      <c r="B49" s="15"/>
      <c r="C49" s="16"/>
      <c r="E49" s="18"/>
      <c r="F49" s="14"/>
      <c r="G49" s="7"/>
      <c r="H49" s="16"/>
      <c r="J49" s="17"/>
      <c r="K49" s="18"/>
      <c r="L49" s="7"/>
    </row>
    <row r="50" spans="1:12" s="4" customFormat="1" x14ac:dyDescent="0.3">
      <c r="A50"/>
      <c r="B50" s="15"/>
      <c r="C50" s="16"/>
      <c r="E50" s="18"/>
      <c r="F50" s="14"/>
      <c r="G50" s="7"/>
      <c r="H50" s="16"/>
      <c r="J50" s="17"/>
      <c r="K50" s="18"/>
      <c r="L50" s="7"/>
    </row>
    <row r="51" spans="1:12" s="4" customFormat="1" x14ac:dyDescent="0.3">
      <c r="A51"/>
      <c r="B51" s="15"/>
      <c r="C51" s="16"/>
      <c r="E51" s="18"/>
      <c r="F51" s="14"/>
      <c r="G51" s="7"/>
      <c r="H51" s="16"/>
      <c r="J51" s="17"/>
      <c r="K51" s="18"/>
      <c r="L51" s="7"/>
    </row>
    <row r="52" spans="1:12" s="4" customFormat="1" x14ac:dyDescent="0.3">
      <c r="A52"/>
      <c r="B52" s="15"/>
      <c r="C52" s="16"/>
      <c r="E52" s="18"/>
      <c r="F52" s="14"/>
      <c r="G52" s="7"/>
      <c r="H52" s="16"/>
      <c r="J52" s="17"/>
      <c r="K52" s="18"/>
      <c r="L52" s="7"/>
    </row>
    <row r="53" spans="1:12" s="4" customFormat="1" x14ac:dyDescent="0.3">
      <c r="A53"/>
      <c r="B53" s="15"/>
      <c r="C53" s="16"/>
      <c r="E53" s="18"/>
      <c r="F53" s="14"/>
      <c r="G53" s="7"/>
      <c r="H53" s="16"/>
      <c r="J53" s="17"/>
      <c r="K53" s="18"/>
      <c r="L53" s="7"/>
    </row>
    <row r="54" spans="1:12" s="4" customFormat="1" x14ac:dyDescent="0.3">
      <c r="A54"/>
      <c r="B54" s="15"/>
      <c r="C54" s="16"/>
      <c r="E54" s="18"/>
      <c r="F54" s="14"/>
      <c r="G54" s="7"/>
      <c r="H54" s="16"/>
      <c r="J54" s="17"/>
      <c r="K54" s="18"/>
      <c r="L54" s="7"/>
    </row>
    <row r="55" spans="1:12" s="20" customFormat="1" x14ac:dyDescent="0.3">
      <c r="C55" s="99"/>
      <c r="E55" s="32"/>
      <c r="G55" s="26"/>
      <c r="H55" s="21"/>
    </row>
    <row r="56" spans="1:12" s="20" customFormat="1" x14ac:dyDescent="0.3">
      <c r="C56" s="99"/>
      <c r="E56" s="32"/>
      <c r="G56" s="26"/>
      <c r="H56" s="21"/>
    </row>
    <row r="57" spans="1:12" s="20" customFormat="1" x14ac:dyDescent="0.3">
      <c r="C57" s="99"/>
      <c r="E57" s="32"/>
      <c r="G57" s="26"/>
      <c r="H57" s="21"/>
    </row>
    <row r="58" spans="1:12" s="20" customFormat="1" x14ac:dyDescent="0.3">
      <c r="C58" s="99"/>
      <c r="E58" s="32"/>
      <c r="G58" s="26"/>
      <c r="H58" s="21"/>
    </row>
    <row r="59" spans="1:12" s="20" customFormat="1" x14ac:dyDescent="0.3">
      <c r="A59" s="27"/>
      <c r="C59" s="99"/>
      <c r="E59" s="32"/>
      <c r="G59" s="26"/>
      <c r="H59" s="21"/>
    </row>
    <row r="60" spans="1:12" s="20" customFormat="1" x14ac:dyDescent="0.3">
      <c r="C60" s="99"/>
      <c r="E60" s="32"/>
      <c r="G60" s="26"/>
      <c r="H60" s="21"/>
    </row>
    <row r="61" spans="1:12" s="20" customFormat="1" x14ac:dyDescent="0.3">
      <c r="C61" s="99"/>
      <c r="E61" s="32"/>
      <c r="G61" s="26"/>
      <c r="H61" s="21"/>
    </row>
    <row r="62" spans="1:12" s="20" customFormat="1" x14ac:dyDescent="0.3">
      <c r="A62" s="27"/>
      <c r="C62" s="99"/>
      <c r="E62" s="32"/>
      <c r="G62" s="26"/>
      <c r="H62" s="21"/>
    </row>
    <row r="63" spans="1:12" s="20" customFormat="1" x14ac:dyDescent="0.3">
      <c r="C63" s="99"/>
      <c r="E63" s="32"/>
      <c r="G63" s="26"/>
      <c r="H63" s="21"/>
    </row>
    <row r="64" spans="1:12" s="20" customFormat="1" x14ac:dyDescent="0.3">
      <c r="C64" s="99"/>
      <c r="E64" s="32"/>
      <c r="G64" s="26"/>
      <c r="H64" s="21"/>
    </row>
    <row r="65" spans="3:8" s="20" customFormat="1" x14ac:dyDescent="0.3">
      <c r="C65" s="99"/>
      <c r="E65" s="32"/>
      <c r="G65" s="26"/>
      <c r="H65" s="21"/>
    </row>
    <row r="66" spans="3:8" s="20" customFormat="1" x14ac:dyDescent="0.3">
      <c r="C66" s="99"/>
      <c r="E66" s="32"/>
      <c r="G66" s="26"/>
      <c r="H66" s="21"/>
    </row>
    <row r="67" spans="3:8" s="20" customFormat="1" x14ac:dyDescent="0.3">
      <c r="C67" s="99"/>
      <c r="E67" s="32"/>
      <c r="G67" s="26"/>
      <c r="H67" s="21"/>
    </row>
    <row r="68" spans="3:8" s="20" customFormat="1" x14ac:dyDescent="0.3">
      <c r="C68" s="99"/>
      <c r="E68" s="32"/>
      <c r="G68" s="26"/>
      <c r="H68" s="21"/>
    </row>
    <row r="69" spans="3:8" s="20" customFormat="1" x14ac:dyDescent="0.3">
      <c r="C69" s="99"/>
      <c r="E69" s="32"/>
      <c r="G69" s="26"/>
      <c r="H69" s="21"/>
    </row>
    <row r="70" spans="3:8" x14ac:dyDescent="0.3">
      <c r="H70" s="2"/>
    </row>
    <row r="71" spans="3:8" x14ac:dyDescent="0.3">
      <c r="H71" s="2"/>
    </row>
    <row r="72" spans="3:8" x14ac:dyDescent="0.3">
      <c r="H72" s="2"/>
    </row>
    <row r="73" spans="3:8" x14ac:dyDescent="0.3">
      <c r="H73" s="2"/>
    </row>
    <row r="74" spans="3:8" x14ac:dyDescent="0.3">
      <c r="H74" s="2"/>
    </row>
    <row r="75" spans="3:8" x14ac:dyDescent="0.3">
      <c r="H75" s="2"/>
    </row>
    <row r="76" spans="3:8" x14ac:dyDescent="0.3">
      <c r="H76" s="10"/>
    </row>
  </sheetData>
  <autoFilter ref="A1:E69" xr:uid="{1943DCBA-F619-4693-B375-B5B5AB23EFCC}"/>
  <sortState xmlns:xlrd2="http://schemas.microsoft.com/office/spreadsheetml/2017/richdata2" ref="A6:H76">
    <sortCondition ref="B6:B76"/>
    <sortCondition ref="A6:A76"/>
    <sortCondition descending="1" ref="H6:H76"/>
    <sortCondition descending="1" ref="G6:G76"/>
  </sortState>
  <conditionalFormatting sqref="H13">
    <cfRule type="colorScale" priority="3">
      <colorScale>
        <cfvo type="min"/>
        <cfvo type="max"/>
        <color rgb="FFFFEF9C"/>
        <color rgb="FF63BE7B"/>
      </colorScale>
    </cfRule>
    <cfRule type="colorScale" priority="4">
      <colorScale>
        <cfvo type="min"/>
        <cfvo type="max"/>
        <color rgb="FFFFEF9C"/>
        <color rgb="FF63BE7B"/>
      </colorScale>
    </cfRule>
  </conditionalFormatting>
  <conditionalFormatting sqref="H22">
    <cfRule type="colorScale" priority="1">
      <colorScale>
        <cfvo type="min"/>
        <cfvo type="max"/>
        <color rgb="FFFFEF9C"/>
        <color rgb="FF63BE7B"/>
      </colorScale>
    </cfRule>
    <cfRule type="colorScale" priority="2">
      <colorScale>
        <cfvo type="min"/>
        <cfvo type="max"/>
        <color rgb="FFFFEF9C"/>
        <color rgb="FF63BE7B"/>
      </colorScale>
    </cfRule>
  </conditionalFormatting>
  <conditionalFormatting sqref="H55:H69">
    <cfRule type="colorScale" priority="388">
      <colorScale>
        <cfvo type="min"/>
        <cfvo type="max"/>
        <color rgb="FFFFEF9C"/>
        <color rgb="FF63BE7B"/>
      </colorScale>
    </cfRule>
  </conditionalFormatting>
  <conditionalFormatting sqref="H55:H1048576 H1:H5">
    <cfRule type="colorScale" priority="13">
      <colorScale>
        <cfvo type="min"/>
        <cfvo type="max"/>
        <color rgb="FFFFEF9C"/>
        <color rgb="FF63BE7B"/>
      </colorScale>
    </cfRule>
  </conditionalFormatting>
  <conditionalFormatting sqref="H76">
    <cfRule type="cellIs" dxfId="4" priority="92" operator="greaterThan">
      <formula>#REF!</formula>
    </cfRule>
  </conditionalFormatting>
  <conditionalFormatting sqref="H77:H1048576 H70:H75 H1:H5">
    <cfRule type="colorScale" priority="223">
      <colorScale>
        <cfvo type="min"/>
        <cfvo type="max"/>
        <color rgb="FFFFEF9C"/>
        <color rgb="FF63BE7B"/>
      </colorScale>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51988-FA52-4F25-9829-E4E0868C3863}">
  <sheetPr codeName="Sheet1"/>
  <dimension ref="A1:H67"/>
  <sheetViews>
    <sheetView topLeftCell="A52" workbookViewId="0">
      <selection activeCell="B67" sqref="B67"/>
    </sheetView>
  </sheetViews>
  <sheetFormatPr defaultRowHeight="14.4" x14ac:dyDescent="0.3"/>
  <cols>
    <col min="1" max="1" width="45.88671875" customWidth="1"/>
    <col min="2" max="2" width="15.5546875" style="22" customWidth="1"/>
    <col min="3" max="3" width="18.33203125" style="88" customWidth="1"/>
    <col min="4" max="4" width="20.5546875" style="13" customWidth="1"/>
    <col min="5" max="5" width="14" customWidth="1"/>
    <col min="6" max="6" width="17" customWidth="1"/>
    <col min="7" max="7" width="18.6640625" customWidth="1"/>
    <col min="10" max="10" width="11" bestFit="1" customWidth="1"/>
  </cols>
  <sheetData>
    <row r="1" spans="1:8" s="12" customFormat="1" x14ac:dyDescent="0.3">
      <c r="A1" s="12" t="s">
        <v>13</v>
      </c>
      <c r="B1" s="46" t="s">
        <v>7</v>
      </c>
      <c r="C1" s="84" t="s">
        <v>128</v>
      </c>
      <c r="D1" s="48" t="s">
        <v>139</v>
      </c>
      <c r="E1" s="12" t="s">
        <v>39</v>
      </c>
      <c r="F1" s="12" t="s">
        <v>40</v>
      </c>
      <c r="G1" s="12" t="s">
        <v>157</v>
      </c>
      <c r="H1" s="12" t="s">
        <v>49</v>
      </c>
    </row>
    <row r="2" spans="1:8" s="12" customFormat="1" x14ac:dyDescent="0.3">
      <c r="B2" s="46"/>
      <c r="C2" s="84"/>
      <c r="D2" s="48"/>
    </row>
    <row r="3" spans="1:8" s="12" customFormat="1" x14ac:dyDescent="0.3">
      <c r="B3" s="46"/>
      <c r="C3" s="84"/>
      <c r="D3" s="48"/>
    </row>
    <row r="4" spans="1:8" s="12" customFormat="1" x14ac:dyDescent="0.3">
      <c r="A4" s="49" t="s">
        <v>50</v>
      </c>
      <c r="B4" s="46"/>
      <c r="C4" s="84"/>
      <c r="D4" s="48"/>
      <c r="E4"/>
    </row>
    <row r="5" spans="1:8" x14ac:dyDescent="0.3">
      <c r="A5" s="12" t="s">
        <v>200</v>
      </c>
      <c r="B5" s="81">
        <v>75000</v>
      </c>
      <c r="C5" s="85" t="s">
        <v>14</v>
      </c>
      <c r="D5" s="13">
        <f>B5*INDEX(Overall!$B$104:$B$109, MATCH(C5, Overall!$A$104:$A$109, 0))</f>
        <v>75000</v>
      </c>
      <c r="E5" s="50">
        <v>0</v>
      </c>
      <c r="F5" s="50">
        <v>9999</v>
      </c>
      <c r="G5" s="105" t="b">
        <f>TRUE</f>
        <v>1</v>
      </c>
      <c r="H5" t="s">
        <v>201</v>
      </c>
    </row>
    <row r="6" spans="1:8" x14ac:dyDescent="0.3">
      <c r="A6" t="s">
        <v>189</v>
      </c>
      <c r="B6" s="81">
        <v>0</v>
      </c>
      <c r="C6" s="85" t="s">
        <v>14</v>
      </c>
      <c r="D6" s="13">
        <f>B6*INDEX(Overall!$B$104:$B$109, MATCH(C6, Overall!$A$104:$A$109, 0))</f>
        <v>0</v>
      </c>
      <c r="E6" s="50">
        <v>0</v>
      </c>
      <c r="F6" s="50">
        <v>9999</v>
      </c>
      <c r="G6" s="105" t="b">
        <f>TRUE</f>
        <v>1</v>
      </c>
    </row>
    <row r="7" spans="1:8" x14ac:dyDescent="0.3">
      <c r="A7" t="s">
        <v>110</v>
      </c>
      <c r="B7" s="81">
        <v>0</v>
      </c>
      <c r="C7" s="85" t="s">
        <v>124</v>
      </c>
      <c r="D7" s="13">
        <f>B7*INDEX(Overall!$B$104:$B$109, MATCH(C7, Overall!$A$104:$A$109, 0))</f>
        <v>0</v>
      </c>
      <c r="E7" s="50">
        <v>0</v>
      </c>
      <c r="F7" s="50">
        <v>9999</v>
      </c>
      <c r="G7" s="105" t="b">
        <f>TRUE</f>
        <v>1</v>
      </c>
    </row>
    <row r="8" spans="1:8" x14ac:dyDescent="0.3">
      <c r="A8" t="s">
        <v>199</v>
      </c>
      <c r="B8" s="81">
        <v>0</v>
      </c>
      <c r="C8" s="85" t="s">
        <v>14</v>
      </c>
      <c r="D8" s="13">
        <f>B8*INDEX(Overall!$B$104:$B$109, MATCH(C8, Overall!$A$104:$A$109, 0))</f>
        <v>0</v>
      </c>
      <c r="E8" s="50">
        <v>0</v>
      </c>
      <c r="F8" s="50">
        <v>9999</v>
      </c>
      <c r="G8" s="105" t="b">
        <f>TRUE</f>
        <v>1</v>
      </c>
    </row>
    <row r="9" spans="1:8" x14ac:dyDescent="0.3">
      <c r="A9" t="s">
        <v>190</v>
      </c>
      <c r="B9" s="81">
        <v>0</v>
      </c>
      <c r="C9" s="85" t="s">
        <v>124</v>
      </c>
      <c r="D9" s="13">
        <f>B9*INDEX(Overall!$B$104:$B$109, MATCH(C9, Overall!$A$104:$A$109, 0))</f>
        <v>0</v>
      </c>
      <c r="E9" s="50">
        <v>0</v>
      </c>
      <c r="F9" s="50">
        <v>9999</v>
      </c>
      <c r="G9" s="105" t="b">
        <f>TRUE</f>
        <v>1</v>
      </c>
    </row>
    <row r="10" spans="1:8" x14ac:dyDescent="0.3">
      <c r="A10" t="s">
        <v>191</v>
      </c>
      <c r="B10" s="81">
        <v>0</v>
      </c>
      <c r="C10" s="85" t="s">
        <v>14</v>
      </c>
      <c r="D10" s="13">
        <f>B10*INDEX(Overall!$B$104:$B$109, MATCH(C10, Overall!$A$104:$A$109, 0))</f>
        <v>0</v>
      </c>
      <c r="E10" s="50">
        <v>0</v>
      </c>
      <c r="F10" s="50">
        <v>9999</v>
      </c>
      <c r="G10" s="105" t="b">
        <f>TRUE</f>
        <v>1</v>
      </c>
    </row>
    <row r="11" spans="1:8" x14ac:dyDescent="0.3">
      <c r="A11" s="144" t="s">
        <v>192</v>
      </c>
      <c r="B11" s="81">
        <v>0</v>
      </c>
      <c r="C11" s="85" t="s">
        <v>14</v>
      </c>
      <c r="D11" s="13">
        <f>B11*INDEX(Overall!$B$104:$B$109, MATCH(C11, Overall!$A$104:$A$109, 0))</f>
        <v>0</v>
      </c>
      <c r="E11" s="50">
        <v>0</v>
      </c>
      <c r="F11" s="50">
        <v>9999</v>
      </c>
      <c r="G11" s="105" t="b">
        <f>TRUE</f>
        <v>1</v>
      </c>
      <c r="H11" t="s">
        <v>194</v>
      </c>
    </row>
    <row r="12" spans="1:8" x14ac:dyDescent="0.3">
      <c r="A12" s="144" t="s">
        <v>193</v>
      </c>
      <c r="B12" s="81">
        <v>0</v>
      </c>
      <c r="C12" s="85" t="s">
        <v>14</v>
      </c>
      <c r="D12" s="13">
        <f>B12*INDEX(Overall!$B$104:$B$109, MATCH(C12, Overall!$A$104:$A$109, 0))</f>
        <v>0</v>
      </c>
      <c r="E12" s="50">
        <v>0</v>
      </c>
      <c r="F12" s="50">
        <v>9999</v>
      </c>
      <c r="G12" s="105" t="b">
        <f>TRUE</f>
        <v>1</v>
      </c>
      <c r="H12" t="s">
        <v>195</v>
      </c>
    </row>
    <row r="13" spans="1:8" x14ac:dyDescent="0.3">
      <c r="A13" s="144" t="s">
        <v>77</v>
      </c>
      <c r="B13" s="81">
        <v>0</v>
      </c>
      <c r="C13" s="85" t="s">
        <v>14</v>
      </c>
      <c r="D13" s="13">
        <f>B13*INDEX(Overall!$B$104:$B$109, MATCH(C13, Overall!$A$104:$A$109, 0))</f>
        <v>0</v>
      </c>
      <c r="E13" s="50">
        <v>0</v>
      </c>
      <c r="F13" s="50">
        <v>9999</v>
      </c>
      <c r="G13" s="105" t="b">
        <f>TRUE</f>
        <v>1</v>
      </c>
    </row>
    <row r="14" spans="1:8" x14ac:dyDescent="0.3">
      <c r="A14" t="s">
        <v>196</v>
      </c>
      <c r="B14" s="81">
        <v>0</v>
      </c>
      <c r="C14" s="85" t="s">
        <v>124</v>
      </c>
      <c r="D14" s="13">
        <f>B14*INDEX(Overall!$B$104:$B$109, MATCH(C14, Overall!$A$104:$A$109, 0))</f>
        <v>0</v>
      </c>
      <c r="E14" s="50">
        <v>0</v>
      </c>
      <c r="F14" s="50">
        <v>9999</v>
      </c>
      <c r="G14" s="105" t="b">
        <f>TRUE</f>
        <v>1</v>
      </c>
    </row>
    <row r="15" spans="1:8" x14ac:dyDescent="0.3">
      <c r="A15" t="s">
        <v>197</v>
      </c>
      <c r="B15" s="81">
        <v>0</v>
      </c>
      <c r="C15" s="85" t="s">
        <v>124</v>
      </c>
      <c r="D15" s="13">
        <f>B15*INDEX(Overall!$B$104:$B$109, MATCH(C15, Overall!$A$104:$A$109, 0))</f>
        <v>0</v>
      </c>
      <c r="E15" s="50">
        <v>0</v>
      </c>
      <c r="F15" s="50">
        <v>9999</v>
      </c>
      <c r="G15" s="105" t="b">
        <f>TRUE</f>
        <v>1</v>
      </c>
    </row>
    <row r="16" spans="1:8" x14ac:dyDescent="0.3">
      <c r="A16" t="s">
        <v>104</v>
      </c>
      <c r="B16" s="81">
        <v>0</v>
      </c>
      <c r="C16" s="85" t="s">
        <v>14</v>
      </c>
      <c r="D16" s="13">
        <f>B16*INDEX(Overall!$B$104:$B$109, MATCH(C16, Overall!$A$104:$A$109, 0))</f>
        <v>0</v>
      </c>
      <c r="E16" s="50">
        <v>0</v>
      </c>
      <c r="F16" s="50">
        <v>9999</v>
      </c>
      <c r="G16" s="105" t="b">
        <f>TRUE</f>
        <v>1</v>
      </c>
    </row>
    <row r="17" spans="1:7" x14ac:dyDescent="0.3">
      <c r="A17" t="s">
        <v>226</v>
      </c>
      <c r="B17" s="81">
        <v>0</v>
      </c>
      <c r="C17" s="85" t="s">
        <v>14</v>
      </c>
      <c r="D17" s="13">
        <f>B17*INDEX(Overall!$B$104:$B$109, MATCH(C17, Overall!$A$104:$A$109, 0))</f>
        <v>0</v>
      </c>
      <c r="E17" s="50">
        <v>0</v>
      </c>
      <c r="F17" s="50">
        <v>9999</v>
      </c>
      <c r="G17" s="105" t="b">
        <f>TRUE</f>
        <v>1</v>
      </c>
    </row>
    <row r="18" spans="1:7" x14ac:dyDescent="0.3">
      <c r="A18" t="s">
        <v>198</v>
      </c>
      <c r="B18" s="81">
        <v>0</v>
      </c>
      <c r="C18" s="85" t="s">
        <v>14</v>
      </c>
      <c r="D18" s="13">
        <f>B18*INDEX(Overall!$B$104:$B$109, MATCH(C18, Overall!$A$104:$A$109, 0))</f>
        <v>0</v>
      </c>
      <c r="E18" s="50">
        <v>0</v>
      </c>
      <c r="F18" s="50">
        <v>9999</v>
      </c>
      <c r="G18" s="105" t="b">
        <f>TRUE</f>
        <v>1</v>
      </c>
    </row>
    <row r="19" spans="1:7" x14ac:dyDescent="0.3">
      <c r="A19" t="s">
        <v>198</v>
      </c>
      <c r="B19" s="81">
        <v>0</v>
      </c>
      <c r="C19" s="85" t="s">
        <v>14</v>
      </c>
      <c r="D19" s="13">
        <f>B19*INDEX(Overall!$B$104:$B$109, MATCH(C19, Overall!$A$104:$A$109, 0))</f>
        <v>0</v>
      </c>
      <c r="E19" s="50">
        <v>0</v>
      </c>
      <c r="F19" s="50">
        <v>9999</v>
      </c>
      <c r="G19" s="105" t="b">
        <f>TRUE</f>
        <v>1</v>
      </c>
    </row>
    <row r="20" spans="1:7" x14ac:dyDescent="0.3">
      <c r="A20" t="s">
        <v>198</v>
      </c>
      <c r="B20" s="81">
        <v>0</v>
      </c>
      <c r="C20" s="85" t="s">
        <v>14</v>
      </c>
      <c r="D20" s="13">
        <f>B20*INDEX(Overall!$B$104:$B$109, MATCH(C20, Overall!$A$104:$A$109, 0))</f>
        <v>0</v>
      </c>
      <c r="E20" s="50">
        <v>0</v>
      </c>
      <c r="F20" s="50">
        <v>9999</v>
      </c>
      <c r="G20" s="105" t="b">
        <f>TRUE</f>
        <v>1</v>
      </c>
    </row>
    <row r="21" spans="1:7" x14ac:dyDescent="0.3">
      <c r="A21" t="s">
        <v>198</v>
      </c>
      <c r="B21" s="81">
        <v>0</v>
      </c>
      <c r="C21" s="85" t="s">
        <v>14</v>
      </c>
      <c r="D21" s="13">
        <f>B21*INDEX(Overall!$B$104:$B$109, MATCH(C21, Overall!$A$104:$A$109, 0))</f>
        <v>0</v>
      </c>
      <c r="E21" s="50">
        <v>0</v>
      </c>
      <c r="F21" s="50">
        <v>9999</v>
      </c>
      <c r="G21" s="105" t="b">
        <f>TRUE</f>
        <v>1</v>
      </c>
    </row>
    <row r="22" spans="1:7" x14ac:dyDescent="0.3">
      <c r="A22" t="s">
        <v>198</v>
      </c>
      <c r="B22" s="81">
        <v>0</v>
      </c>
      <c r="C22" s="85" t="s">
        <v>14</v>
      </c>
      <c r="D22" s="13">
        <f>B22*INDEX(Overall!$B$104:$B$109, MATCH(C22, Overall!$A$104:$A$109, 0))</f>
        <v>0</v>
      </c>
      <c r="E22" s="50">
        <v>0</v>
      </c>
      <c r="F22" s="50">
        <v>9999</v>
      </c>
      <c r="G22" s="105" t="b">
        <f>TRUE</f>
        <v>1</v>
      </c>
    </row>
    <row r="23" spans="1:7" x14ac:dyDescent="0.3">
      <c r="A23" t="s">
        <v>198</v>
      </c>
      <c r="B23" s="81">
        <v>0</v>
      </c>
      <c r="C23" s="85" t="s">
        <v>14</v>
      </c>
      <c r="D23" s="13">
        <f>B23*INDEX(Overall!$B$104:$B$109, MATCH(C23, Overall!$A$104:$A$109, 0))</f>
        <v>0</v>
      </c>
      <c r="E23" s="50">
        <v>0</v>
      </c>
      <c r="F23" s="50">
        <v>9999</v>
      </c>
      <c r="G23" s="105" t="b">
        <f>TRUE</f>
        <v>1</v>
      </c>
    </row>
    <row r="24" spans="1:7" x14ac:dyDescent="0.3">
      <c r="A24" t="s">
        <v>198</v>
      </c>
      <c r="B24" s="81">
        <v>0</v>
      </c>
      <c r="C24" s="85" t="s">
        <v>14</v>
      </c>
      <c r="D24" s="13">
        <f>B24*INDEX(Overall!$B$104:$B$109, MATCH(C24, Overall!$A$104:$A$109, 0))</f>
        <v>0</v>
      </c>
      <c r="E24" s="50">
        <v>0</v>
      </c>
      <c r="F24" s="50">
        <v>9999</v>
      </c>
      <c r="G24" s="105" t="b">
        <f>TRUE</f>
        <v>1</v>
      </c>
    </row>
    <row r="25" spans="1:7" x14ac:dyDescent="0.3">
      <c r="A25" t="s">
        <v>198</v>
      </c>
      <c r="B25" s="81">
        <v>0</v>
      </c>
      <c r="C25" s="85" t="s">
        <v>14</v>
      </c>
      <c r="D25" s="13">
        <f>B25*INDEX(Overall!$B$104:$B$109, MATCH(C25, Overall!$A$104:$A$109, 0))</f>
        <v>0</v>
      </c>
      <c r="E25" s="50">
        <v>0</v>
      </c>
      <c r="F25" s="50">
        <v>9999</v>
      </c>
      <c r="G25" s="105" t="b">
        <f>TRUE</f>
        <v>1</v>
      </c>
    </row>
    <row r="26" spans="1:7" x14ac:dyDescent="0.3">
      <c r="A26" t="s">
        <v>198</v>
      </c>
      <c r="B26" s="81">
        <v>0</v>
      </c>
      <c r="C26" s="85" t="s">
        <v>14</v>
      </c>
      <c r="D26" s="13">
        <f>B26*INDEX(Overall!$B$104:$B$109, MATCH(C26, Overall!$A$104:$A$109, 0))</f>
        <v>0</v>
      </c>
      <c r="E26" s="50">
        <v>0</v>
      </c>
      <c r="F26" s="50">
        <v>9999</v>
      </c>
      <c r="G26" s="105" t="b">
        <f>TRUE</f>
        <v>1</v>
      </c>
    </row>
    <row r="27" spans="1:7" x14ac:dyDescent="0.3">
      <c r="A27" t="s">
        <v>198</v>
      </c>
      <c r="B27" s="81">
        <v>0</v>
      </c>
      <c r="C27" s="85" t="s">
        <v>14</v>
      </c>
      <c r="D27" s="13">
        <f>B27*INDEX(Overall!$B$104:$B$109, MATCH(C27, Overall!$A$104:$A$109, 0))</f>
        <v>0</v>
      </c>
      <c r="E27" s="50">
        <v>0</v>
      </c>
      <c r="F27" s="50">
        <v>9999</v>
      </c>
      <c r="G27" s="105" t="b">
        <f>TRUE</f>
        <v>1</v>
      </c>
    </row>
    <row r="28" spans="1:7" x14ac:dyDescent="0.3">
      <c r="A28" t="s">
        <v>198</v>
      </c>
      <c r="B28" s="81">
        <v>0</v>
      </c>
      <c r="C28" s="85" t="s">
        <v>14</v>
      </c>
      <c r="D28" s="13">
        <f>B28*INDEX(Overall!$B$104:$B$109, MATCH(C28, Overall!$A$104:$A$109, 0))</f>
        <v>0</v>
      </c>
      <c r="E28" s="50">
        <v>0</v>
      </c>
      <c r="F28" s="50">
        <v>9999</v>
      </c>
      <c r="G28" s="105" t="b">
        <f>TRUE</f>
        <v>1</v>
      </c>
    </row>
    <row r="29" spans="1:7" x14ac:dyDescent="0.3">
      <c r="A29" t="s">
        <v>198</v>
      </c>
      <c r="B29" s="81">
        <v>0</v>
      </c>
      <c r="C29" s="85" t="s">
        <v>14</v>
      </c>
      <c r="D29" s="13">
        <f>B29*INDEX(Overall!$B$104:$B$109, MATCH(C29, Overall!$A$104:$A$109, 0))</f>
        <v>0</v>
      </c>
      <c r="E29" s="50">
        <v>0</v>
      </c>
      <c r="F29" s="50">
        <v>9999</v>
      </c>
      <c r="G29" s="105" t="b">
        <f>TRUE</f>
        <v>1</v>
      </c>
    </row>
    <row r="30" spans="1:7" x14ac:dyDescent="0.3">
      <c r="A30" t="s">
        <v>198</v>
      </c>
      <c r="B30" s="81">
        <v>0</v>
      </c>
      <c r="C30" s="85" t="s">
        <v>14</v>
      </c>
      <c r="D30" s="13">
        <f>B30*INDEX(Overall!$B$104:$B$109, MATCH(C30, Overall!$A$104:$A$109, 0))</f>
        <v>0</v>
      </c>
      <c r="E30" s="50">
        <v>0</v>
      </c>
      <c r="F30" s="50">
        <v>9999</v>
      </c>
      <c r="G30" s="105" t="b">
        <f>TRUE</f>
        <v>1</v>
      </c>
    </row>
    <row r="31" spans="1:7" x14ac:dyDescent="0.3">
      <c r="C31" s="86"/>
    </row>
    <row r="32" spans="1:7" s="12" customFormat="1" x14ac:dyDescent="0.3">
      <c r="A32" s="49" t="s">
        <v>159</v>
      </c>
      <c r="B32" s="46"/>
      <c r="C32" s="86"/>
      <c r="D32" s="13"/>
      <c r="E32"/>
    </row>
    <row r="33" spans="1:8" x14ac:dyDescent="0.3">
      <c r="A33" t="s">
        <v>75</v>
      </c>
      <c r="B33" s="81">
        <v>2500</v>
      </c>
      <c r="C33" s="85" t="s">
        <v>124</v>
      </c>
      <c r="D33" s="13">
        <f>B33*INDEX(Overall!$B$104:$B$109, MATCH(C33, Overall!$A$104:$A$109, 0))</f>
        <v>30000</v>
      </c>
      <c r="E33" s="50">
        <v>0</v>
      </c>
      <c r="F33" s="28">
        <v>2054</v>
      </c>
      <c r="G33" s="106" t="b">
        <f>FALSE</f>
        <v>0</v>
      </c>
    </row>
    <row r="34" spans="1:8" x14ac:dyDescent="0.3">
      <c r="A34" t="s">
        <v>76</v>
      </c>
      <c r="B34" s="81">
        <v>0</v>
      </c>
      <c r="C34" s="85" t="s">
        <v>14</v>
      </c>
      <c r="D34" s="13">
        <f>B34*INDEX(Overall!$B$104:$B$109, MATCH(C34, Overall!$A$104:$A$109, 0))</f>
        <v>0</v>
      </c>
      <c r="E34" s="50">
        <v>0</v>
      </c>
      <c r="F34" s="28">
        <v>2034</v>
      </c>
      <c r="G34" s="106" t="b">
        <f>FALSE</f>
        <v>0</v>
      </c>
    </row>
    <row r="35" spans="1:8" x14ac:dyDescent="0.3">
      <c r="A35" t="s">
        <v>42</v>
      </c>
      <c r="B35" s="81">
        <v>0</v>
      </c>
      <c r="C35" s="85" t="s">
        <v>14</v>
      </c>
      <c r="D35" s="13">
        <f>B35*INDEX(Overall!$B$104:$B$109, MATCH(C35, Overall!$A$104:$A$109, 0))</f>
        <v>0</v>
      </c>
      <c r="E35" s="50">
        <v>0</v>
      </c>
      <c r="F35" s="28">
        <v>2028</v>
      </c>
      <c r="G35" s="106" t="b">
        <f>FALSE</f>
        <v>0</v>
      </c>
    </row>
    <row r="36" spans="1:8" x14ac:dyDescent="0.3">
      <c r="A36" t="s">
        <v>105</v>
      </c>
      <c r="B36" s="81">
        <v>0</v>
      </c>
      <c r="C36" s="85" t="s">
        <v>14</v>
      </c>
      <c r="D36" s="13">
        <f>B36*INDEX(Overall!$B$104:$B$109, MATCH(C36, Overall!$A$104:$A$109, 0))</f>
        <v>0</v>
      </c>
      <c r="E36" s="50">
        <v>0</v>
      </c>
      <c r="F36" s="28">
        <v>2028</v>
      </c>
      <c r="G36" s="106" t="b">
        <f>FALSE</f>
        <v>0</v>
      </c>
    </row>
    <row r="37" spans="1:8" x14ac:dyDescent="0.3">
      <c r="A37" t="s">
        <v>158</v>
      </c>
      <c r="B37" s="81">
        <v>0</v>
      </c>
      <c r="C37" s="85" t="s">
        <v>14</v>
      </c>
      <c r="D37" s="13">
        <f>B37*INDEX(Overall!$B$104:$B$109, MATCH(C37, Overall!$A$104:$A$109, 0))</f>
        <v>0</v>
      </c>
      <c r="E37" s="50">
        <v>0</v>
      </c>
      <c r="F37" s="28">
        <v>2026</v>
      </c>
      <c r="G37" s="106" t="b">
        <f>FALSE</f>
        <v>0</v>
      </c>
    </row>
    <row r="38" spans="1:8" x14ac:dyDescent="0.3">
      <c r="A38" t="s">
        <v>202</v>
      </c>
      <c r="B38" s="81">
        <v>0</v>
      </c>
      <c r="C38" s="85" t="s">
        <v>14</v>
      </c>
      <c r="D38" s="13">
        <f>B38*INDEX(Overall!$B$104:$B$109, MATCH(C38, Overall!$A$104:$A$109, 0))</f>
        <v>0</v>
      </c>
      <c r="E38" s="50">
        <v>0</v>
      </c>
      <c r="F38" s="28">
        <f>MAX(Overall!$B$72,Overall!$B$73)</f>
        <v>2035</v>
      </c>
      <c r="G38" s="106" t="b">
        <f>FALSE</f>
        <v>0</v>
      </c>
    </row>
    <row r="39" spans="1:8" x14ac:dyDescent="0.3">
      <c r="A39" t="s">
        <v>202</v>
      </c>
      <c r="B39" s="81">
        <v>0</v>
      </c>
      <c r="C39" s="85" t="s">
        <v>14</v>
      </c>
      <c r="D39" s="13">
        <f>B39*INDEX(Overall!$B$104:$B$109, MATCH(C39, Overall!$A$104:$A$109, 0))</f>
        <v>0</v>
      </c>
      <c r="E39" s="50">
        <v>0</v>
      </c>
      <c r="F39" s="28">
        <v>2026</v>
      </c>
      <c r="G39" s="106" t="b">
        <f>FALSE</f>
        <v>0</v>
      </c>
    </row>
    <row r="40" spans="1:8" x14ac:dyDescent="0.3">
      <c r="C40" s="86"/>
    </row>
    <row r="41" spans="1:8" s="12" customFormat="1" x14ac:dyDescent="0.3">
      <c r="A41" s="49" t="s">
        <v>51</v>
      </c>
      <c r="B41" s="46"/>
      <c r="C41" s="86"/>
      <c r="D41" s="13"/>
      <c r="E41"/>
    </row>
    <row r="42" spans="1:8" x14ac:dyDescent="0.3">
      <c r="A42" t="s">
        <v>204</v>
      </c>
      <c r="B42" s="81">
        <v>0</v>
      </c>
      <c r="C42" s="85" t="s">
        <v>14</v>
      </c>
      <c r="D42" s="13">
        <f>B42*INDEX(Overall!$B$104:$B$109, MATCH(C42, Overall!$A$104:$A$109, 0))</f>
        <v>0</v>
      </c>
      <c r="E42" s="50">
        <v>2023</v>
      </c>
      <c r="F42" s="28">
        <f>E42+5</f>
        <v>2028</v>
      </c>
      <c r="G42" s="105" t="b">
        <f>TRUE</f>
        <v>1</v>
      </c>
      <c r="H42" t="s">
        <v>212</v>
      </c>
    </row>
    <row r="43" spans="1:8" x14ac:dyDescent="0.3">
      <c r="A43" t="s">
        <v>203</v>
      </c>
      <c r="B43" s="81">
        <v>0</v>
      </c>
      <c r="C43" s="85" t="s">
        <v>14</v>
      </c>
      <c r="D43" s="13">
        <f>B43*INDEX(Overall!$B$104:$B$109, MATCH(C43, Overall!$A$104:$A$109, 0))</f>
        <v>0</v>
      </c>
      <c r="E43" s="50">
        <f>F42</f>
        <v>2028</v>
      </c>
      <c r="F43" s="28">
        <f>E43+12</f>
        <v>2040</v>
      </c>
      <c r="G43" s="105" t="b">
        <f>TRUE</f>
        <v>1</v>
      </c>
    </row>
    <row r="44" spans="1:8" x14ac:dyDescent="0.3">
      <c r="A44" t="s">
        <v>205</v>
      </c>
      <c r="B44" s="81">
        <v>0</v>
      </c>
      <c r="C44" s="85" t="s">
        <v>14</v>
      </c>
      <c r="D44" s="13">
        <f>B44*INDEX(Overall!$B$104:$B$109, MATCH(C44, Overall!$A$104:$A$109, 0))</f>
        <v>0</v>
      </c>
      <c r="E44" s="50">
        <f>F43</f>
        <v>2040</v>
      </c>
      <c r="F44" s="28">
        <f>E44+4</f>
        <v>2044</v>
      </c>
      <c r="G44" s="105" t="b">
        <f>TRUE</f>
        <v>1</v>
      </c>
    </row>
    <row r="45" spans="1:8" x14ac:dyDescent="0.3">
      <c r="A45" t="s">
        <v>43</v>
      </c>
      <c r="B45" s="81">
        <v>0</v>
      </c>
      <c r="C45" s="85" t="s">
        <v>14</v>
      </c>
      <c r="D45" s="13">
        <f>B45*INDEX(Overall!$B$104:$B$109, MATCH(C45, Overall!$A$104:$A$109, 0))</f>
        <v>0</v>
      </c>
      <c r="E45" s="50">
        <v>0</v>
      </c>
      <c r="F45" s="28">
        <f>MAX(Overall!$B$72,Overall!$B$73)</f>
        <v>2035</v>
      </c>
      <c r="G45" s="105" t="b">
        <f>TRUE</f>
        <v>1</v>
      </c>
      <c r="H45" t="s">
        <v>44</v>
      </c>
    </row>
    <row r="46" spans="1:8" x14ac:dyDescent="0.3">
      <c r="A46" t="s">
        <v>206</v>
      </c>
      <c r="B46" s="81">
        <v>0</v>
      </c>
      <c r="C46" s="85" t="s">
        <v>14</v>
      </c>
      <c r="D46" s="13">
        <f>B46*INDEX(Overall!$B$104:$B$109, MATCH(C46, Overall!$A$104:$A$109, 0))</f>
        <v>0</v>
      </c>
      <c r="E46" s="50">
        <v>0</v>
      </c>
      <c r="F46" s="28">
        <f>MAX(Overall!$B$72,Overall!$B$73)</f>
        <v>2035</v>
      </c>
      <c r="G46" s="105" t="b">
        <f>TRUE</f>
        <v>1</v>
      </c>
    </row>
    <row r="47" spans="1:8" x14ac:dyDescent="0.3">
      <c r="A47" t="s">
        <v>206</v>
      </c>
      <c r="B47" s="81">
        <v>0</v>
      </c>
      <c r="C47" s="85" t="s">
        <v>14</v>
      </c>
      <c r="D47" s="13">
        <f>B47*INDEX(Overall!$B$104:$B$109, MATCH(C47, Overall!$A$104:$A$109, 0))</f>
        <v>0</v>
      </c>
      <c r="E47" s="50">
        <v>0</v>
      </c>
      <c r="F47" s="28">
        <v>2026</v>
      </c>
      <c r="G47" s="105" t="b">
        <f>TRUE</f>
        <v>1</v>
      </c>
    </row>
    <row r="48" spans="1:8" x14ac:dyDescent="0.3">
      <c r="C48" s="86"/>
    </row>
    <row r="49" spans="1:8" x14ac:dyDescent="0.3">
      <c r="A49" s="49" t="s">
        <v>69</v>
      </c>
      <c r="C49" s="86"/>
    </row>
    <row r="50" spans="1:8" x14ac:dyDescent="0.3">
      <c r="A50" t="s">
        <v>227</v>
      </c>
      <c r="B50" s="81">
        <v>0</v>
      </c>
      <c r="C50" s="85" t="s">
        <v>14</v>
      </c>
      <c r="D50" s="13">
        <f>B50*INDEX(Overall!$B$104:$B$109, MATCH(C50, Overall!$A$104:$A$109, 0))</f>
        <v>0</v>
      </c>
      <c r="E50" s="28">
        <f>E42+24</f>
        <v>2047</v>
      </c>
      <c r="F50" s="28">
        <f>E50+5</f>
        <v>2052</v>
      </c>
      <c r="G50" s="105" t="b">
        <f>TRUE</f>
        <v>1</v>
      </c>
    </row>
    <row r="51" spans="1:8" x14ac:dyDescent="0.3">
      <c r="A51" t="s">
        <v>47</v>
      </c>
      <c r="B51" s="81">
        <v>0</v>
      </c>
      <c r="C51" s="85" t="s">
        <v>14</v>
      </c>
      <c r="D51" s="13">
        <f>B51*INDEX(Overall!$B$104:$B$109, MATCH(C51, Overall!$A$104:$A$109, 0))</f>
        <v>0</v>
      </c>
      <c r="E51" s="28">
        <f>MAX(Overall!$B$72,Overall!$B$73)+1</f>
        <v>2036</v>
      </c>
      <c r="F51" s="28">
        <f>E51+10</f>
        <v>2046</v>
      </c>
      <c r="G51" s="105" t="b">
        <f>TRUE</f>
        <v>1</v>
      </c>
      <c r="H51" t="s">
        <v>45</v>
      </c>
    </row>
    <row r="52" spans="1:8" x14ac:dyDescent="0.3">
      <c r="A52" t="s">
        <v>48</v>
      </c>
      <c r="B52" s="81">
        <v>0</v>
      </c>
      <c r="C52" s="85" t="s">
        <v>14</v>
      </c>
      <c r="D52" s="13">
        <f>B52*INDEX(Overall!$B$104:$B$109, MATCH(C52, Overall!$A$104:$A$109, 0))</f>
        <v>0</v>
      </c>
      <c r="E52" s="28">
        <f>MAX(Overall!$B$72,Overall!$B$73)+1</f>
        <v>2036</v>
      </c>
      <c r="F52" s="28">
        <v>9999</v>
      </c>
      <c r="G52" s="105" t="b">
        <f>TRUE</f>
        <v>1</v>
      </c>
      <c r="H52" t="s">
        <v>45</v>
      </c>
    </row>
    <row r="53" spans="1:8" x14ac:dyDescent="0.3">
      <c r="A53" t="s">
        <v>83</v>
      </c>
      <c r="B53" s="81">
        <v>0</v>
      </c>
      <c r="C53" s="85" t="s">
        <v>14</v>
      </c>
      <c r="D53" s="13">
        <f>B53*INDEX(Overall!$B$104:$B$109, MATCH(C53, Overall!$A$104:$A$109, 0))</f>
        <v>0</v>
      </c>
      <c r="E53" s="28">
        <f>MAX(Overall!$B$72,Overall!$B$73)+1</f>
        <v>2036</v>
      </c>
      <c r="F53" s="28">
        <f t="shared" ref="F53" si="0">E53+10</f>
        <v>2046</v>
      </c>
      <c r="G53" s="105" t="b">
        <f>TRUE</f>
        <v>1</v>
      </c>
      <c r="H53" t="s">
        <v>45</v>
      </c>
    </row>
    <row r="54" spans="1:8" x14ac:dyDescent="0.3">
      <c r="A54" t="s">
        <v>84</v>
      </c>
      <c r="B54" s="81">
        <v>0</v>
      </c>
      <c r="C54" s="85" t="s">
        <v>14</v>
      </c>
      <c r="D54" s="13">
        <f>B54*INDEX(Overall!$B$104:$B$109, MATCH(C54, Overall!$A$104:$A$109, 0))</f>
        <v>0</v>
      </c>
      <c r="E54" s="28">
        <f>MAX(Overall!$B$72,Overall!$B$73)+1</f>
        <v>2036</v>
      </c>
      <c r="F54" s="28">
        <v>9999</v>
      </c>
      <c r="G54" s="105" t="b">
        <f>TRUE</f>
        <v>1</v>
      </c>
      <c r="H54" t="s">
        <v>45</v>
      </c>
    </row>
    <row r="55" spans="1:8" x14ac:dyDescent="0.3">
      <c r="A55" t="s">
        <v>85</v>
      </c>
      <c r="B55" s="81">
        <v>0</v>
      </c>
      <c r="C55" s="85" t="s">
        <v>14</v>
      </c>
      <c r="D55" s="13">
        <f>B55*INDEX(Overall!$B$104:$B$109, MATCH(C55, Overall!$A$104:$A$109, 0))</f>
        <v>0</v>
      </c>
      <c r="E55" s="28">
        <f>MAX(Overall!$B$72,Overall!$B$73)+1</f>
        <v>2036</v>
      </c>
      <c r="F55" s="28">
        <f t="shared" ref="F55" si="1">E55+10</f>
        <v>2046</v>
      </c>
      <c r="G55" s="105" t="b">
        <f>TRUE</f>
        <v>1</v>
      </c>
      <c r="H55" t="s">
        <v>45</v>
      </c>
    </row>
    <row r="56" spans="1:8" x14ac:dyDescent="0.3">
      <c r="A56" t="s">
        <v>86</v>
      </c>
      <c r="B56" s="81">
        <v>0</v>
      </c>
      <c r="C56" s="85" t="s">
        <v>14</v>
      </c>
      <c r="D56" s="13">
        <f>B56*INDEX(Overall!$B$104:$B$109, MATCH(C56, Overall!$A$104:$A$109, 0))</f>
        <v>0</v>
      </c>
      <c r="E56" s="28">
        <f>MAX(Overall!$B$72,Overall!$B$73)+1</f>
        <v>2036</v>
      </c>
      <c r="F56" s="28">
        <v>9999</v>
      </c>
      <c r="G56" s="105" t="b">
        <f>TRUE</f>
        <v>1</v>
      </c>
      <c r="H56" t="s">
        <v>45</v>
      </c>
    </row>
    <row r="57" spans="1:8" x14ac:dyDescent="0.3">
      <c r="C57" s="86"/>
    </row>
    <row r="58" spans="1:8" x14ac:dyDescent="0.3">
      <c r="C58" s="86"/>
    </row>
    <row r="59" spans="1:8" ht="18" x14ac:dyDescent="0.35">
      <c r="A59" s="68" t="s">
        <v>111</v>
      </c>
      <c r="B59" s="82"/>
      <c r="C59" s="87"/>
      <c r="D59" s="72"/>
      <c r="E59" s="72"/>
      <c r="F59" s="72"/>
    </row>
    <row r="60" spans="1:8" x14ac:dyDescent="0.3">
      <c r="C60" s="86"/>
    </row>
    <row r="61" spans="1:8" x14ac:dyDescent="0.3">
      <c r="A61" s="49" t="s">
        <v>70</v>
      </c>
      <c r="C61" s="86"/>
    </row>
    <row r="62" spans="1:8" x14ac:dyDescent="0.3">
      <c r="A62" t="str">
        <f>_xlfn.CONCAT(Overall!$A$53," - self")</f>
        <v>Medicare Annual Cost Per Person - self</v>
      </c>
      <c r="B62" s="83">
        <f>Overall!$D$53</f>
        <v>7500</v>
      </c>
      <c r="C62" s="85" t="s">
        <v>14</v>
      </c>
      <c r="D62" s="13">
        <f>B62*INDEX(Overall!$B$104:$B$109, MATCH(C62, Overall!$A$104:$A$109, 0))</f>
        <v>7500</v>
      </c>
      <c r="E62" s="50">
        <f>Overall!B86</f>
        <v>2035</v>
      </c>
      <c r="F62" s="50">
        <v>9999</v>
      </c>
      <c r="G62" s="105" t="b">
        <f>TRUE</f>
        <v>1</v>
      </c>
      <c r="H62" t="s">
        <v>72</v>
      </c>
    </row>
    <row r="63" spans="1:8" x14ac:dyDescent="0.3">
      <c r="A63" t="str">
        <f>_xlfn.CONCAT(Overall!$A$53," - spouse")</f>
        <v>Medicare Annual Cost Per Person - spouse</v>
      </c>
      <c r="B63" s="83">
        <f>IF(Overall!$B$3,Overall!$D$53,0)</f>
        <v>0</v>
      </c>
      <c r="C63" s="85" t="s">
        <v>14</v>
      </c>
      <c r="D63" s="13">
        <f>B63*INDEX(Overall!$B$104:$B$109, MATCH(C63, Overall!$A$104:$A$109, 0))</f>
        <v>0</v>
      </c>
      <c r="E63" s="50">
        <f>Overall!B87</f>
        <v>2035</v>
      </c>
      <c r="F63" s="50">
        <v>9999</v>
      </c>
      <c r="G63" s="105" t="b">
        <f>TRUE</f>
        <v>1</v>
      </c>
      <c r="H63" t="s">
        <v>73</v>
      </c>
    </row>
    <row r="64" spans="1:8" x14ac:dyDescent="0.3">
      <c r="A64" t="str">
        <f>_xlfn.CONCAT(Overall!$A$52," - self")</f>
        <v>(Pre-medicare) Health Insurance Annual Cost Per Person - self</v>
      </c>
      <c r="B64" s="83">
        <f>Overall!$D$52</f>
        <v>15000</v>
      </c>
      <c r="C64" s="85" t="s">
        <v>14</v>
      </c>
      <c r="D64" s="13">
        <f>B64*INDEX(Overall!$B$104:$B$109, MATCH(C64, Overall!$A$104:$A$109, 0))</f>
        <v>15000</v>
      </c>
      <c r="E64" s="50">
        <f>Overall!$B$72</f>
        <v>2035</v>
      </c>
      <c r="F64" s="50">
        <f>Overall!B86</f>
        <v>2035</v>
      </c>
      <c r="G64" s="105" t="b">
        <f>TRUE</f>
        <v>1</v>
      </c>
      <c r="H64" t="s">
        <v>74</v>
      </c>
    </row>
    <row r="65" spans="1:8" x14ac:dyDescent="0.3">
      <c r="A65" t="str">
        <f>_xlfn.CONCAT(Overall!$A$52," - spouse")</f>
        <v>(Pre-medicare) Health Insurance Annual Cost Per Person - spouse</v>
      </c>
      <c r="B65" s="83">
        <f>IF(Overall!$B$3,Overall!$D$52,0)</f>
        <v>0</v>
      </c>
      <c r="C65" s="85" t="s">
        <v>14</v>
      </c>
      <c r="D65" s="13">
        <f>B65*INDEX(Overall!$B$104:$B$109, MATCH(C65, Overall!$A$104:$A$109, 0))</f>
        <v>0</v>
      </c>
      <c r="E65" s="50">
        <f>Overall!$B$73</f>
        <v>2035</v>
      </c>
      <c r="F65" s="50">
        <f>Overall!B87</f>
        <v>2035</v>
      </c>
      <c r="G65" s="105" t="b">
        <f>TRUE</f>
        <v>1</v>
      </c>
      <c r="H65" t="s">
        <v>74</v>
      </c>
    </row>
    <row r="66" spans="1:8" x14ac:dyDescent="0.3">
      <c r="A66" t="str">
        <f>_xlfn.CONCAT(Overall!$A$54," - self")</f>
        <v>Long-term Care Annual Cost per-person - self</v>
      </c>
      <c r="B66" s="83">
        <f>IF(AND(TRUE,Overall!$B$37),Overall!$D$54,0)</f>
        <v>100000</v>
      </c>
      <c r="C66" s="85" t="s">
        <v>14</v>
      </c>
      <c r="D66" s="13">
        <f>B66*INDEX(Overall!$B$104:$B$109, MATCH(C66, Overall!$A$104:$A$109, 0))</f>
        <v>100000</v>
      </c>
      <c r="E66" s="50">
        <f>Overall!$B$56+Overall!$B$7</f>
        <v>2045</v>
      </c>
      <c r="F66" s="50">
        <f>E66+Overall!$B$55</f>
        <v>2048</v>
      </c>
      <c r="G66" s="105" t="b">
        <f>TRUE</f>
        <v>1</v>
      </c>
      <c r="H66" t="s">
        <v>187</v>
      </c>
    </row>
    <row r="67" spans="1:8" x14ac:dyDescent="0.3">
      <c r="A67" t="str">
        <f>_xlfn.CONCAT(Overall!$A$54," - spouse")</f>
        <v>Long-term Care Annual Cost per-person - spouse</v>
      </c>
      <c r="B67" s="83">
        <f>IF(AND(Overall!$B$3,Overall!$C$37),Overall!$D$54,0)</f>
        <v>0</v>
      </c>
      <c r="C67" s="85" t="s">
        <v>14</v>
      </c>
      <c r="D67" s="13">
        <f>B67*INDEX(Overall!$B$104:$B$109, MATCH(C67, Overall!$A$104:$A$109, 0))</f>
        <v>0</v>
      </c>
      <c r="E67" s="50">
        <f>Overall!$B$56+Overall!$C$7</f>
        <v>2048</v>
      </c>
      <c r="F67" s="50">
        <f>E67+Overall!$C$55</f>
        <v>2051</v>
      </c>
      <c r="G67" s="105" t="b">
        <f>TRUE</f>
        <v>1</v>
      </c>
      <c r="H67" t="s">
        <v>188</v>
      </c>
    </row>
  </sheetData>
  <phoneticPr fontId="22" type="noConversion"/>
  <dataValidations count="2">
    <dataValidation allowBlank="1" showErrorMessage="1" sqref="C68:C71" xr:uid="{69FAEE47-1D4D-40EE-8F0B-799D6C3C2C39}"/>
    <dataValidation allowBlank="1" showInputMessage="1" showErrorMessage="1" sqref="C48:C49 C31:C32 C40:C41" xr:uid="{3A61366C-FE51-4C3D-AA09-4D5B7040AB39}"/>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18D5B1D-878A-4C2C-A58F-5D7EDCABCF44}">
          <x14:formula1>
            <xm:f>Overall!$A$104:$A$109</xm:f>
          </x14:formula1>
          <xm:sqref>C50:C56 C42:C47 C33:C39 C62:C67 C5:C30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ED179-006F-4E94-B6CB-088A47CD82E0}">
  <sheetPr codeName="Sheet2"/>
  <dimension ref="A1:Z100"/>
  <sheetViews>
    <sheetView workbookViewId="0">
      <pane ySplit="1" topLeftCell="A2" activePane="bottomLeft" state="frozen"/>
      <selection activeCell="B40" sqref="B40"/>
      <selection pane="bottomLeft" activeCell="F19" sqref="F19"/>
    </sheetView>
  </sheetViews>
  <sheetFormatPr defaultRowHeight="14.4" x14ac:dyDescent="0.3"/>
  <cols>
    <col min="1" max="1" width="7.6640625" customWidth="1"/>
    <col min="2" max="2" width="9.77734375" customWidth="1"/>
    <col min="3" max="3" width="16.44140625" style="10" customWidth="1"/>
    <col min="4" max="4" width="15.44140625" style="22" customWidth="1"/>
    <col min="5" max="5" width="13.44140625" style="22" customWidth="1"/>
    <col min="6" max="7" width="11.88671875" style="22" customWidth="1"/>
    <col min="8" max="8" width="21.77734375" style="13" customWidth="1"/>
    <col min="9" max="9" width="32" style="72" customWidth="1"/>
    <col min="10" max="10" width="40" style="72" customWidth="1"/>
    <col min="11" max="11" width="7.109375" customWidth="1"/>
    <col min="12" max="12" width="0.44140625" customWidth="1"/>
    <col min="13" max="13" width="7.33203125" style="1" customWidth="1"/>
    <col min="14" max="14" width="11.109375" style="10" customWidth="1"/>
    <col min="15" max="15" width="0.5546875" style="1" customWidth="1"/>
    <col min="16" max="16" width="1.5546875" style="1" customWidth="1"/>
    <col min="17" max="17" width="1.109375" style="10" customWidth="1"/>
    <col min="18" max="18" width="0.6640625" style="10" customWidth="1"/>
    <col min="19" max="19" width="0.77734375" style="22" customWidth="1"/>
    <col min="20" max="20" width="0.88671875" style="22" customWidth="1"/>
    <col min="21" max="22" width="14.109375" style="22" customWidth="1"/>
    <col min="23" max="23" width="17" style="22" customWidth="1"/>
    <col min="24" max="24" width="10.44140625" style="78" customWidth="1"/>
    <col min="25" max="25" width="15.5546875" style="22" customWidth="1"/>
    <col min="26" max="26" width="11.44140625" style="22" customWidth="1"/>
  </cols>
  <sheetData>
    <row r="1" spans="1:26" s="35" customFormat="1" x14ac:dyDescent="0.3">
      <c r="A1" s="35" t="s">
        <v>3</v>
      </c>
      <c r="B1" s="35" t="s">
        <v>8</v>
      </c>
      <c r="C1" s="113" t="s">
        <v>178</v>
      </c>
      <c r="D1" s="37" t="s">
        <v>177</v>
      </c>
      <c r="E1" s="37" t="s">
        <v>22</v>
      </c>
      <c r="F1" s="37" t="s">
        <v>11</v>
      </c>
      <c r="G1" s="37" t="s">
        <v>33</v>
      </c>
      <c r="H1" s="35" t="s">
        <v>179</v>
      </c>
      <c r="I1" s="111"/>
      <c r="J1" s="111"/>
      <c r="K1" s="35" t="s">
        <v>10</v>
      </c>
      <c r="L1" s="35" t="s">
        <v>9</v>
      </c>
      <c r="M1" s="36" t="s">
        <v>129</v>
      </c>
      <c r="N1" s="76" t="s">
        <v>115</v>
      </c>
      <c r="O1" s="36" t="s">
        <v>160</v>
      </c>
      <c r="P1" s="36" t="s">
        <v>161</v>
      </c>
      <c r="Q1" s="76" t="s">
        <v>162</v>
      </c>
      <c r="R1" s="76" t="s">
        <v>163</v>
      </c>
      <c r="S1" s="37" t="s">
        <v>164</v>
      </c>
      <c r="T1" s="37" t="s">
        <v>165</v>
      </c>
      <c r="U1" s="37" t="s">
        <v>80</v>
      </c>
      <c r="V1" s="37" t="s">
        <v>81</v>
      </c>
      <c r="W1" s="37" t="s">
        <v>78</v>
      </c>
      <c r="X1" s="79" t="s">
        <v>120</v>
      </c>
      <c r="Y1" s="37" t="s">
        <v>79</v>
      </c>
      <c r="Z1" s="37" t="s">
        <v>12</v>
      </c>
    </row>
    <row r="2" spans="1:26" x14ac:dyDescent="0.3">
      <c r="A2">
        <f>Overall!$B$1+K2</f>
        <v>2025</v>
      </c>
      <c r="B2">
        <f>A2-Overall!$B$7</f>
        <v>55</v>
      </c>
      <c r="C2" s="104">
        <f>IF(K2&lt;=0,Overall!$B$89,H1)</f>
        <v>1250000</v>
      </c>
      <c r="D2" s="22">
        <f t="shared" ref="D2:D33" si="0">S2+T2</f>
        <v>161612.5</v>
      </c>
      <c r="E2" s="22">
        <f t="shared" ref="E2:E33" si="1">U2+Y2</f>
        <v>151185.45731707319</v>
      </c>
      <c r="F2" s="22">
        <f t="shared" ref="F2:F33" si="2">IF(E2&lt;D2,0,E2-D2)</f>
        <v>0</v>
      </c>
      <c r="G2" s="22">
        <f t="shared" ref="G2:G33" si="3">IF(E2&lt;D2,D2-E2,0)</f>
        <v>10427.042682926811</v>
      </c>
      <c r="H2" s="13">
        <f t="shared" ref="H2:H33" si="4">MAX(0,C2*(1+N2)+G2-F2)</f>
        <v>1300366.0670731708</v>
      </c>
      <c r="K2">
        <f>ROW(K2)-2</f>
        <v>0</v>
      </c>
      <c r="L2">
        <f>A2-Overall!$D$7</f>
        <v>55</v>
      </c>
      <c r="M2" s="80">
        <f>IF(Overall!$B$42&gt;0,Overall!$B$42,MIN(100,(MAX(20,120-B2)))/100)</f>
        <v>0.65</v>
      </c>
      <c r="N2" s="10">
        <f>((1+(Overall!$D$43*M2+Overall!$D$44*(1-M2))) / (1+Overall!$B$45-Overall!$D$45)) -1</f>
        <v>3.195121951219515E-2</v>
      </c>
      <c r="O2" s="1">
        <f>POWER(1+Overall!$D$45,$K2+1)</f>
        <v>1</v>
      </c>
      <c r="P2" s="1">
        <f>1/POWER((1+Overall!$B$45-Overall!$D$45),$K2+1)</f>
        <v>0.97560975609756106</v>
      </c>
      <c r="Q2" s="104">
        <f>O2*SUMIFS(Expenses!$D$4:'Expenses'!$D$70,Expenses!$E$4:'Expenses'!$E$70,"&lt;="&amp;A2,Expenses!$F$4:'Expenses'!$F$70,"&gt;"&amp;A2,Expenses!$G$4:'Expenses'!$G$70,"=TRUE")*(1+Overall!$B$98)</f>
        <v>82500</v>
      </c>
      <c r="R2" s="104">
        <f>P2*SUMIFS(Expenses!$D$4:'Expenses'!$D$70,Expenses!$E$4:'Expenses'!$E$70,"&lt;="&amp;A2,Expenses!$F$4:'Expenses'!$F$70,"&gt;"&amp;A2,Expenses!$G$4:'Expenses'!$G$70,"=FALSE")</f>
        <v>29268.292682926833</v>
      </c>
      <c r="S2" s="46">
        <f>O2*SUMIFS(Income!$D$2:'Income'!$D$47,Income!$E$2:'Income'!$E$47,"&lt;="&amp;A2,Income!$F$2:'Income'!$F$47,"&gt;"&amp;A2,Income!$G$2:'Income'!$G$47,"=TRUE")</f>
        <v>161612.5</v>
      </c>
      <c r="T2" s="46">
        <f>P2*SUMIFS(Income!$D$2:'Income'!$D$47,Income!$E$2:'Income'!$E$47,"&lt;="&amp;A2,Income!$F$2:'Income'!$F$47,"&gt;"&amp;A2,Income!$G$2:'Income'!$G$47,"=FALSE")</f>
        <v>0</v>
      </c>
      <c r="U2" s="46">
        <f t="shared" ref="U2:U33" si="5">Q2+R2</f>
        <v>111768.29268292684</v>
      </c>
      <c r="V2" s="22">
        <f>MIN( MAX( (Overall!$B$65*AVERAGE(B2,L2)*C2*(1+N2)), MAX(U2-D2,0)), C2*(1+N2)) * Overall!$B$66</f>
        <v>35473.32317073171</v>
      </c>
      <c r="W2" s="22">
        <f t="shared" ref="W2:W33" si="6">D2+V2</f>
        <v>197085.82317073172</v>
      </c>
      <c r="X2" s="78">
        <f>IF(W2&lt;=Overall!$D$59*O2,Overall!$B$58,IF(W2&lt;=Overall!$D$61*O2,Overall!$B$60,Overall!$B$62))</f>
        <v>0.2</v>
      </c>
      <c r="Y2" s="22">
        <f t="shared" ref="Y2:Y33" si="7">W2*X2</f>
        <v>39417.164634146349</v>
      </c>
      <c r="Z2" s="10">
        <f>IF(H2&gt;0,F2/H2,0)</f>
        <v>0</v>
      </c>
    </row>
    <row r="3" spans="1:26" x14ac:dyDescent="0.3">
      <c r="A3">
        <f>Overall!$B$1+K3</f>
        <v>2026</v>
      </c>
      <c r="B3">
        <f>A3-Overall!$B$7</f>
        <v>56</v>
      </c>
      <c r="C3" s="104">
        <f>IF(K3&lt;=0,Overall!$B$89,H2)</f>
        <v>1300366.0670731708</v>
      </c>
      <c r="D3" s="22">
        <f t="shared" si="0"/>
        <v>161612.5</v>
      </c>
      <c r="E3" s="22">
        <f t="shared" si="1"/>
        <v>150889.16568501131</v>
      </c>
      <c r="F3" s="22">
        <f t="shared" si="2"/>
        <v>0</v>
      </c>
      <c r="G3" s="22">
        <f t="shared" si="3"/>
        <v>10723.334314988693</v>
      </c>
      <c r="H3" s="13">
        <f t="shared" si="4"/>
        <v>1352193.6556058871</v>
      </c>
      <c r="K3">
        <f t="shared" ref="K3:K66" si="8">ROW(K3)-2</f>
        <v>1</v>
      </c>
      <c r="L3">
        <f>A3-Overall!$D$7</f>
        <v>56</v>
      </c>
      <c r="M3" s="80">
        <f>IF(Overall!$B$42&gt;0,Overall!$B$42,MIN(100,(MAX(20,120-B3)))/100)</f>
        <v>0.64</v>
      </c>
      <c r="N3" s="10">
        <f>((1+(Overall!$D$43*M3+Overall!$D$44*(1-M3))) / (1+Overall!$B$45-Overall!$D$45)) -1</f>
        <v>3.1609756097561004E-2</v>
      </c>
      <c r="O3" s="1">
        <f>POWER(1+Overall!$D$45,$K3+1)</f>
        <v>1</v>
      </c>
      <c r="P3" s="1">
        <f>1/POWER((1+Overall!$B$45-Overall!$D$45),$K3+1)</f>
        <v>0.95181439619274244</v>
      </c>
      <c r="Q3" s="104">
        <f>O3*SUMIFS(Expenses!$D$4:'Expenses'!$D$70,Expenses!$E$4:'Expenses'!$E$70,"&lt;="&amp;A3,Expenses!$F$4:'Expenses'!$F$70,"&gt;"&amp;A3,Expenses!$G$4:'Expenses'!$G$70,"=TRUE")*(1+Overall!$B$98)</f>
        <v>82500</v>
      </c>
      <c r="R3" s="104">
        <f>P3*SUMIFS(Expenses!$D$4:'Expenses'!$D$70,Expenses!$E$4:'Expenses'!$E$70,"&lt;="&amp;A3,Expenses!$F$4:'Expenses'!$F$70,"&gt;"&amp;A3,Expenses!$G$4:'Expenses'!$G$70,"=FALSE")</f>
        <v>28554.431885782273</v>
      </c>
      <c r="S3" s="46">
        <f>O3*SUMIFS(Income!$D$2:'Income'!$D$47,Income!$E$2:'Income'!$E$47,"&lt;="&amp;A3,Income!$F$2:'Income'!$F$47,"&gt;"&amp;A3,Income!$G$2:'Income'!$G$47,"=TRUE")</f>
        <v>161612.5</v>
      </c>
      <c r="T3" s="46">
        <f>P3*SUMIFS(Income!$D$2:'Income'!$D$47,Income!$E$2:'Income'!$E$47,"&lt;="&amp;A3,Income!$F$2:'Income'!$F$47,"&gt;"&amp;A3,Income!$G$2:'Income'!$G$47,"=FALSE")</f>
        <v>0</v>
      </c>
      <c r="U3" s="46">
        <f t="shared" si="5"/>
        <v>111054.43188578228</v>
      </c>
      <c r="V3" s="22">
        <f>MIN( MAX( (Overall!$B$65*AVERAGE(B3,L3)*C3*(1+N3)), MAX(U3-D3,0)), C3*(1+N3)) * Overall!$B$66</f>
        <v>37561.168996145156</v>
      </c>
      <c r="W3" s="22">
        <f t="shared" si="6"/>
        <v>199173.66899614516</v>
      </c>
      <c r="X3" s="78">
        <f>IF(W3&lt;=Overall!$D$59*O3,Overall!$B$58,IF(W3&lt;=Overall!$D$61*O3,Overall!$B$60,Overall!$B$62))</f>
        <v>0.2</v>
      </c>
      <c r="Y3" s="22">
        <f t="shared" si="7"/>
        <v>39834.733799229034</v>
      </c>
      <c r="Z3" s="10">
        <f t="shared" ref="Z3:Z34" si="9">IF(H2&gt;0,F3/H2,0)</f>
        <v>0</v>
      </c>
    </row>
    <row r="4" spans="1:26" x14ac:dyDescent="0.3">
      <c r="A4">
        <f>Overall!$B$1+K4</f>
        <v>2027</v>
      </c>
      <c r="B4">
        <f>A4-Overall!$B$7</f>
        <v>57</v>
      </c>
      <c r="C4" s="104">
        <f>IF(K4&lt;=0,Overall!$B$89,H3)</f>
        <v>1352193.6556058871</v>
      </c>
      <c r="D4" s="22">
        <f t="shared" si="0"/>
        <v>161612.5</v>
      </c>
      <c r="E4" s="22">
        <f t="shared" si="1"/>
        <v>150628.98665037469</v>
      </c>
      <c r="F4" s="22">
        <f t="shared" si="2"/>
        <v>0</v>
      </c>
      <c r="G4" s="22">
        <f t="shared" si="3"/>
        <v>10983.513349625311</v>
      </c>
      <c r="H4" s="13">
        <f t="shared" si="4"/>
        <v>1405457.955942994</v>
      </c>
      <c r="I4" s="112"/>
      <c r="K4">
        <f t="shared" si="8"/>
        <v>2</v>
      </c>
      <c r="L4">
        <f>A4-Overall!$D$7</f>
        <v>57</v>
      </c>
      <c r="M4" s="80">
        <f>IF(Overall!$B$42&gt;0,Overall!$B$42,MIN(100,(MAX(20,120-B4)))/100)</f>
        <v>0.63</v>
      </c>
      <c r="N4" s="10">
        <f>((1+(Overall!$D$43*M4+Overall!$D$44*(1-M4))) / (1+Overall!$B$45-Overall!$D$45)) -1</f>
        <v>3.1268292682926857E-2</v>
      </c>
      <c r="O4" s="1">
        <f>POWER(1+Overall!$D$45,$K4+1)</f>
        <v>1</v>
      </c>
      <c r="P4" s="1">
        <f>1/POWER((1+Overall!$B$45-Overall!$D$45),$K4+1)</f>
        <v>0.92859941091974885</v>
      </c>
      <c r="Q4" s="104">
        <f>O4*SUMIFS(Expenses!$D$4:'Expenses'!$D$70,Expenses!$E$4:'Expenses'!$E$70,"&lt;="&amp;A4,Expenses!$F$4:'Expenses'!$F$70,"&gt;"&amp;A4,Expenses!$G$4:'Expenses'!$G$70,"=TRUE")*(1+Overall!$B$98)</f>
        <v>82500</v>
      </c>
      <c r="R4" s="104">
        <f>P4*SUMIFS(Expenses!$D$4:'Expenses'!$D$70,Expenses!$E$4:'Expenses'!$E$70,"&lt;="&amp;A4,Expenses!$F$4:'Expenses'!$F$70,"&gt;"&amp;A4,Expenses!$G$4:'Expenses'!$G$70,"=FALSE")</f>
        <v>27857.982327592465</v>
      </c>
      <c r="S4" s="46">
        <f>O4*SUMIFS(Income!$D$2:'Income'!$D$47,Income!$E$2:'Income'!$E$47,"&lt;="&amp;A4,Income!$F$2:'Income'!$F$47,"&gt;"&amp;A4,Income!$G$2:'Income'!$G$47,"=TRUE")</f>
        <v>161612.5</v>
      </c>
      <c r="T4" s="46">
        <f>P4*SUMIFS(Income!$D$2:'Income'!$D$47,Income!$E$2:'Income'!$E$47,"&lt;="&amp;A4,Income!$F$2:'Income'!$F$47,"&gt;"&amp;A4,Income!$G$2:'Income'!$G$47,"=FALSE")</f>
        <v>0</v>
      </c>
      <c r="U4" s="46">
        <f t="shared" si="5"/>
        <v>110357.98232759247</v>
      </c>
      <c r="V4" s="22">
        <f>MIN( MAX( (Overall!$B$65*AVERAGE(B4,L4)*C4*(1+N4)), MAX(U4-D4,0)), C4*(1+N4)) * Overall!$B$66</f>
        <v>39742.521613911013</v>
      </c>
      <c r="W4" s="22">
        <f t="shared" si="6"/>
        <v>201355.02161391103</v>
      </c>
      <c r="X4" s="78">
        <f>IF(W4&lt;=Overall!$D$59*O4,Overall!$B$58,IF(W4&lt;=Overall!$D$61*O4,Overall!$B$60,Overall!$B$62))</f>
        <v>0.2</v>
      </c>
      <c r="Y4" s="22">
        <f t="shared" si="7"/>
        <v>40271.00432278221</v>
      </c>
      <c r="Z4" s="10">
        <f t="shared" si="9"/>
        <v>0</v>
      </c>
    </row>
    <row r="5" spans="1:26" x14ac:dyDescent="0.3">
      <c r="A5">
        <f>Overall!$B$1+K5</f>
        <v>2028</v>
      </c>
      <c r="B5">
        <f>A5-Overall!$B$7</f>
        <v>58</v>
      </c>
      <c r="C5" s="104">
        <f>IF(K5&lt;=0,Overall!$B$89,H4)</f>
        <v>1405457.955942994</v>
      </c>
      <c r="D5" s="22">
        <f t="shared" si="0"/>
        <v>161612.5</v>
      </c>
      <c r="E5" s="22">
        <f t="shared" si="1"/>
        <v>150404.78036629583</v>
      </c>
      <c r="F5" s="22">
        <f t="shared" si="2"/>
        <v>0</v>
      </c>
      <c r="G5" s="22">
        <f t="shared" si="3"/>
        <v>11207.719633704168</v>
      </c>
      <c r="H5" s="13">
        <f t="shared" si="4"/>
        <v>1460132.0338239106</v>
      </c>
      <c r="K5">
        <f t="shared" si="8"/>
        <v>3</v>
      </c>
      <c r="L5">
        <f>A5-Overall!$D$7</f>
        <v>58</v>
      </c>
      <c r="M5" s="80">
        <f>IF(Overall!$B$42&gt;0,Overall!$B$42,MIN(100,(MAX(20,120-B5)))/100)</f>
        <v>0.62</v>
      </c>
      <c r="N5" s="10">
        <f>((1+(Overall!$D$43*M5+Overall!$D$44*(1-M5))) / (1+Overall!$B$45-Overall!$D$45)) -1</f>
        <v>3.092682926829271E-2</v>
      </c>
      <c r="O5" s="1">
        <f>POWER(1+Overall!$D$45,$K5+1)</f>
        <v>1</v>
      </c>
      <c r="P5" s="1">
        <f>1/POWER((1+Overall!$B$45-Overall!$D$45),$K5+1)</f>
        <v>0.90595064479975507</v>
      </c>
      <c r="Q5" s="104">
        <f>O5*SUMIFS(Expenses!$D$4:'Expenses'!$D$70,Expenses!$E$4:'Expenses'!$E$70,"&lt;="&amp;A5,Expenses!$F$4:'Expenses'!$F$70,"&gt;"&amp;A5,Expenses!$G$4:'Expenses'!$G$70,"=TRUE")*(1+Overall!$B$98)</f>
        <v>82500</v>
      </c>
      <c r="R5" s="104">
        <f>P5*SUMIFS(Expenses!$D$4:'Expenses'!$D$70,Expenses!$E$4:'Expenses'!$E$70,"&lt;="&amp;A5,Expenses!$F$4:'Expenses'!$F$70,"&gt;"&amp;A5,Expenses!$G$4:'Expenses'!$G$70,"=FALSE")</f>
        <v>27178.519343992652</v>
      </c>
      <c r="S5" s="46">
        <f>O5*SUMIFS(Income!$D$2:'Income'!$D$47,Income!$E$2:'Income'!$E$47,"&lt;="&amp;A5,Income!$F$2:'Income'!$F$47,"&gt;"&amp;A5,Income!$G$2:'Income'!$G$47,"=TRUE")</f>
        <v>161612.5</v>
      </c>
      <c r="T5" s="46">
        <f>P5*SUMIFS(Income!$D$2:'Income'!$D$47,Income!$E$2:'Income'!$E$47,"&lt;="&amp;A5,Income!$F$2:'Income'!$F$47,"&gt;"&amp;A5,Income!$G$2:'Income'!$G$47,"=FALSE")</f>
        <v>0</v>
      </c>
      <c r="U5" s="46">
        <f t="shared" si="5"/>
        <v>109678.51934399265</v>
      </c>
      <c r="V5" s="22">
        <f>MIN( MAX( (Overall!$B$65*AVERAGE(B5,L5)*C5*(1+N5)), MAX(U5-D5,0)), C5*(1+N5)) * Overall!$B$66</f>
        <v>42018.805111515991</v>
      </c>
      <c r="W5" s="22">
        <f t="shared" si="6"/>
        <v>203631.30511151598</v>
      </c>
      <c r="X5" s="78">
        <f>IF(W5&lt;=Overall!$D$59*O5,Overall!$B$58,IF(W5&lt;=Overall!$D$61*O5,Overall!$B$60,Overall!$B$62))</f>
        <v>0.2</v>
      </c>
      <c r="Y5" s="22">
        <f t="shared" si="7"/>
        <v>40726.261022303195</v>
      </c>
      <c r="Z5" s="10">
        <f t="shared" si="9"/>
        <v>0</v>
      </c>
    </row>
    <row r="6" spans="1:26" x14ac:dyDescent="0.3">
      <c r="A6">
        <f>Overall!$B$1+K6</f>
        <v>2029</v>
      </c>
      <c r="B6">
        <f>A6-Overall!$B$7</f>
        <v>59</v>
      </c>
      <c r="C6" s="104">
        <f>IF(K6&lt;=0,Overall!$B$89,H5)</f>
        <v>1460132.0338239106</v>
      </c>
      <c r="D6" s="22">
        <f t="shared" si="0"/>
        <v>161612.5</v>
      </c>
      <c r="E6" s="22">
        <f t="shared" si="1"/>
        <v>150216.39379529658</v>
      </c>
      <c r="F6" s="22">
        <f t="shared" si="2"/>
        <v>0</v>
      </c>
      <c r="G6" s="22">
        <f t="shared" si="3"/>
        <v>11396.106204703421</v>
      </c>
      <c r="H6" s="13">
        <f t="shared" si="4"/>
        <v>1516186.8124777649</v>
      </c>
      <c r="K6">
        <f t="shared" si="8"/>
        <v>4</v>
      </c>
      <c r="L6">
        <f>A6-Overall!$D$7</f>
        <v>59</v>
      </c>
      <c r="M6" s="80">
        <f>IF(Overall!$B$42&gt;0,Overall!$B$42,MIN(100,(MAX(20,120-B6)))/100)</f>
        <v>0.61</v>
      </c>
      <c r="N6" s="10">
        <f>((1+(Overall!$D$43*M6+Overall!$D$44*(1-M6))) / (1+Overall!$B$45-Overall!$D$45)) -1</f>
        <v>3.0585365853658564E-2</v>
      </c>
      <c r="O6" s="1">
        <f>POWER(1+Overall!$D$45,$K6+1)</f>
        <v>1</v>
      </c>
      <c r="P6" s="1">
        <f>1/POWER((1+Overall!$B$45-Overall!$D$45),$K6+1)</f>
        <v>0.88385428760951712</v>
      </c>
      <c r="Q6" s="104">
        <f>O6*SUMIFS(Expenses!$D$4:'Expenses'!$D$70,Expenses!$E$4:'Expenses'!$E$70,"&lt;="&amp;A6,Expenses!$F$4:'Expenses'!$F$70,"&gt;"&amp;A6,Expenses!$G$4:'Expenses'!$G$70,"=TRUE")*(1+Overall!$B$98)</f>
        <v>82500</v>
      </c>
      <c r="R6" s="104">
        <f>P6*SUMIFS(Expenses!$D$4:'Expenses'!$D$70,Expenses!$E$4:'Expenses'!$E$70,"&lt;="&amp;A6,Expenses!$F$4:'Expenses'!$F$70,"&gt;"&amp;A6,Expenses!$G$4:'Expenses'!$G$70,"=FALSE")</f>
        <v>26515.628628285514</v>
      </c>
      <c r="S6" s="46">
        <f>O6*SUMIFS(Income!$D$2:'Income'!$D$47,Income!$E$2:'Income'!$E$47,"&lt;="&amp;A6,Income!$F$2:'Income'!$F$47,"&gt;"&amp;A6,Income!$G$2:'Income'!$G$47,"=TRUE")</f>
        <v>161612.5</v>
      </c>
      <c r="T6" s="46">
        <f>P6*SUMIFS(Income!$D$2:'Income'!$D$47,Income!$E$2:'Income'!$E$47,"&lt;="&amp;A6,Income!$F$2:'Income'!$F$47,"&gt;"&amp;A6,Income!$G$2:'Income'!$G$47,"=FALSE")</f>
        <v>0</v>
      </c>
      <c r="U6" s="46">
        <f t="shared" si="5"/>
        <v>109015.62862828551</v>
      </c>
      <c r="V6" s="22">
        <f>MIN( MAX( (Overall!$B$65*AVERAGE(B6,L6)*C6*(1+N6)), MAX(U6-D6,0)), C6*(1+N6)) * Overall!$B$66</f>
        <v>44391.325835055315</v>
      </c>
      <c r="W6" s="22">
        <f t="shared" si="6"/>
        <v>206003.82583505532</v>
      </c>
      <c r="X6" s="78">
        <f>IF(W6&lt;=Overall!$D$59*O6,Overall!$B$58,IF(W6&lt;=Overall!$D$61*O6,Overall!$B$60,Overall!$B$62))</f>
        <v>0.2</v>
      </c>
      <c r="Y6" s="22">
        <f t="shared" si="7"/>
        <v>41200.765167011064</v>
      </c>
      <c r="Z6" s="10">
        <f t="shared" si="9"/>
        <v>0</v>
      </c>
    </row>
    <row r="7" spans="1:26" x14ac:dyDescent="0.3">
      <c r="A7">
        <f>Overall!$B$1+K7</f>
        <v>2030</v>
      </c>
      <c r="B7">
        <f>A7-Overall!$B$7</f>
        <v>60</v>
      </c>
      <c r="C7" s="104">
        <f>IF(K7&lt;=0,Overall!$B$89,H6)</f>
        <v>1516186.8124777649</v>
      </c>
      <c r="D7" s="22">
        <f t="shared" si="0"/>
        <v>161612.5</v>
      </c>
      <c r="E7" s="22">
        <f t="shared" si="1"/>
        <v>150063.65928989722</v>
      </c>
      <c r="F7" s="22">
        <f t="shared" si="2"/>
        <v>0</v>
      </c>
      <c r="G7" s="22">
        <f t="shared" si="3"/>
        <v>11548.840710102784</v>
      </c>
      <c r="H7" s="13">
        <f t="shared" si="4"/>
        <v>1573591.0592237806</v>
      </c>
      <c r="K7">
        <f t="shared" si="8"/>
        <v>5</v>
      </c>
      <c r="L7">
        <f>A7-Overall!$D$7</f>
        <v>60</v>
      </c>
      <c r="M7" s="80">
        <f>IF(Overall!$B$42&gt;0,Overall!$B$42,MIN(100,(MAX(20,120-B7)))/100)</f>
        <v>0.6</v>
      </c>
      <c r="N7" s="10">
        <f>((1+(Overall!$D$43*M7+Overall!$D$44*(1-M7))) / (1+Overall!$B$45-Overall!$D$45)) -1</f>
        <v>3.0243902439024417E-2</v>
      </c>
      <c r="O7" s="1">
        <f>POWER(1+Overall!$D$45,$K7+1)</f>
        <v>1</v>
      </c>
      <c r="P7" s="1">
        <f>1/POWER((1+Overall!$B$45-Overall!$D$45),$K7+1)</f>
        <v>0.86229686596050459</v>
      </c>
      <c r="Q7" s="104">
        <f>O7*SUMIFS(Expenses!$D$4:'Expenses'!$D$70,Expenses!$E$4:'Expenses'!$E$70,"&lt;="&amp;A7,Expenses!$F$4:'Expenses'!$F$70,"&gt;"&amp;A7,Expenses!$G$4:'Expenses'!$G$70,"=TRUE")*(1+Overall!$B$98)</f>
        <v>82500</v>
      </c>
      <c r="R7" s="104">
        <f>P7*SUMIFS(Expenses!$D$4:'Expenses'!$D$70,Expenses!$E$4:'Expenses'!$E$70,"&lt;="&amp;A7,Expenses!$F$4:'Expenses'!$F$70,"&gt;"&amp;A7,Expenses!$G$4:'Expenses'!$G$70,"=FALSE")</f>
        <v>25868.905978815139</v>
      </c>
      <c r="S7" s="46">
        <f>O7*SUMIFS(Income!$D$2:'Income'!$D$47,Income!$E$2:'Income'!$E$47,"&lt;="&amp;A7,Income!$F$2:'Income'!$F$47,"&gt;"&amp;A7,Income!$G$2:'Income'!$G$47,"=TRUE")</f>
        <v>161612.5</v>
      </c>
      <c r="T7" s="46">
        <f>P7*SUMIFS(Income!$D$2:'Income'!$D$47,Income!$E$2:'Income'!$E$47,"&lt;="&amp;A7,Income!$F$2:'Income'!$F$47,"&gt;"&amp;A7,Income!$G$2:'Income'!$G$47,"=FALSE")</f>
        <v>0</v>
      </c>
      <c r="U7" s="46">
        <f t="shared" si="5"/>
        <v>108368.90597881514</v>
      </c>
      <c r="V7" s="22">
        <f>MIN( MAX( (Overall!$B$65*AVERAGE(B7,L7)*C7*(1+N7)), MAX(U7-D7,0)), C7*(1+N7)) * Overall!$B$66</f>
        <v>46861.26655541033</v>
      </c>
      <c r="W7" s="22">
        <f t="shared" si="6"/>
        <v>208473.76655541034</v>
      </c>
      <c r="X7" s="78">
        <f>IF(W7&lt;=Overall!$D$59*O7,Overall!$B$58,IF(W7&lt;=Overall!$D$61*O7,Overall!$B$60,Overall!$B$62))</f>
        <v>0.2</v>
      </c>
      <c r="Y7" s="22">
        <f t="shared" si="7"/>
        <v>41694.753311082073</v>
      </c>
      <c r="Z7" s="10">
        <f t="shared" si="9"/>
        <v>0</v>
      </c>
    </row>
    <row r="8" spans="1:26" x14ac:dyDescent="0.3">
      <c r="A8">
        <f>Overall!$B$1+K8</f>
        <v>2031</v>
      </c>
      <c r="B8">
        <f>A8-Overall!$B$7</f>
        <v>61</v>
      </c>
      <c r="C8" s="104">
        <f>IF(K8&lt;=0,Overall!$B$89,H7)</f>
        <v>1573591.0592237806</v>
      </c>
      <c r="D8" s="22">
        <f t="shared" si="0"/>
        <v>161612.5</v>
      </c>
      <c r="E8" s="22">
        <f t="shared" si="1"/>
        <v>149946.39319902402</v>
      </c>
      <c r="F8" s="22">
        <f t="shared" si="2"/>
        <v>0</v>
      </c>
      <c r="G8" s="22">
        <f t="shared" si="3"/>
        <v>11666.106800975977</v>
      </c>
      <c r="H8" s="13">
        <f t="shared" si="4"/>
        <v>1632311.3767225214</v>
      </c>
      <c r="K8">
        <f t="shared" si="8"/>
        <v>6</v>
      </c>
      <c r="L8">
        <f>A8-Overall!$D$7</f>
        <v>61</v>
      </c>
      <c r="M8" s="80">
        <f>IF(Overall!$B$42&gt;0,Overall!$B$42,MIN(100,(MAX(20,120-B8)))/100)</f>
        <v>0.59</v>
      </c>
      <c r="N8" s="10">
        <f>((1+(Overall!$D$43*M8+Overall!$D$44*(1-M8))) / (1+Overall!$B$45-Overall!$D$45)) -1</f>
        <v>2.990243902439027E-2</v>
      </c>
      <c r="O8" s="1">
        <f>POWER(1+Overall!$D$45,$K8+1)</f>
        <v>1</v>
      </c>
      <c r="P8" s="1">
        <f>1/POWER((1+Overall!$B$45-Overall!$D$45),$K8+1)</f>
        <v>0.84126523508341911</v>
      </c>
      <c r="Q8" s="104">
        <f>O8*SUMIFS(Expenses!$D$4:'Expenses'!$D$70,Expenses!$E$4:'Expenses'!$E$70,"&lt;="&amp;A8,Expenses!$F$4:'Expenses'!$F$70,"&gt;"&amp;A8,Expenses!$G$4:'Expenses'!$G$70,"=TRUE")*(1+Overall!$B$98)</f>
        <v>82500</v>
      </c>
      <c r="R8" s="104">
        <f>P8*SUMIFS(Expenses!$D$4:'Expenses'!$D$70,Expenses!$E$4:'Expenses'!$E$70,"&lt;="&amp;A8,Expenses!$F$4:'Expenses'!$F$70,"&gt;"&amp;A8,Expenses!$G$4:'Expenses'!$G$70,"=FALSE")</f>
        <v>25237.957052502574</v>
      </c>
      <c r="S8" s="46">
        <f>O8*SUMIFS(Income!$D$2:'Income'!$D$47,Income!$E$2:'Income'!$E$47,"&lt;="&amp;A8,Income!$F$2:'Income'!$F$47,"&gt;"&amp;A8,Income!$G$2:'Income'!$G$47,"=TRUE")</f>
        <v>161612.5</v>
      </c>
      <c r="T8" s="46">
        <f>P8*SUMIFS(Income!$D$2:'Income'!$D$47,Income!$E$2:'Income'!$E$47,"&lt;="&amp;A8,Income!$F$2:'Income'!$F$47,"&gt;"&amp;A8,Income!$G$2:'Income'!$G$47,"=FALSE")</f>
        <v>0</v>
      </c>
      <c r="U8" s="46">
        <f t="shared" si="5"/>
        <v>107737.95705250258</v>
      </c>
      <c r="V8" s="22">
        <f>MIN( MAX( (Overall!$B$65*AVERAGE(B8,L8)*C8*(1+N8)), MAX(U8-D8,0)), C8*(1+N8)) * Overall!$B$66</f>
        <v>49429.680732607136</v>
      </c>
      <c r="W8" s="22">
        <f t="shared" si="6"/>
        <v>211042.18073260714</v>
      </c>
      <c r="X8" s="78">
        <f>IF(W8&lt;=Overall!$D$59*O8,Overall!$B$58,IF(W8&lt;=Overall!$D$61*O8,Overall!$B$60,Overall!$B$62))</f>
        <v>0.2</v>
      </c>
      <c r="Y8" s="22">
        <f t="shared" si="7"/>
        <v>42208.436146521432</v>
      </c>
      <c r="Z8" s="10">
        <f t="shared" si="9"/>
        <v>0</v>
      </c>
    </row>
    <row r="9" spans="1:26" x14ac:dyDescent="0.3">
      <c r="A9">
        <f>Overall!$B$1+K9</f>
        <v>2032</v>
      </c>
      <c r="B9">
        <f>A9-Overall!$B$7</f>
        <v>62</v>
      </c>
      <c r="C9" s="104">
        <f>IF(K9&lt;=0,Overall!$B$89,H8)</f>
        <v>1632311.3767225214</v>
      </c>
      <c r="D9" s="22">
        <f t="shared" si="0"/>
        <v>161612.5</v>
      </c>
      <c r="E9" s="22">
        <f t="shared" si="1"/>
        <v>149864.39450420029</v>
      </c>
      <c r="F9" s="22">
        <f t="shared" si="2"/>
        <v>0</v>
      </c>
      <c r="G9" s="22">
        <f t="shared" si="3"/>
        <v>11748.105495799711</v>
      </c>
      <c r="H9" s="13">
        <f t="shared" si="4"/>
        <v>1692312.1990131431</v>
      </c>
      <c r="K9">
        <f t="shared" si="8"/>
        <v>7</v>
      </c>
      <c r="L9">
        <f>A9-Overall!$D$7</f>
        <v>62</v>
      </c>
      <c r="M9" s="80">
        <f>IF(Overall!$B$42&gt;0,Overall!$B$42,MIN(100,(MAX(20,120-B9)))/100)</f>
        <v>0.57999999999999996</v>
      </c>
      <c r="N9" s="10">
        <f>((1+(Overall!$D$43*M9+Overall!$D$44*(1-M9))) / (1+Overall!$B$45-Overall!$D$45)) -1</f>
        <v>2.9560975609756124E-2</v>
      </c>
      <c r="O9" s="1">
        <f>POWER(1+Overall!$D$45,$K9+1)</f>
        <v>1</v>
      </c>
      <c r="P9" s="1">
        <f>1/POWER((1+Overall!$B$45-Overall!$D$45),$K9+1)</f>
        <v>0.82074657081309188</v>
      </c>
      <c r="Q9" s="104">
        <f>O9*SUMIFS(Expenses!$D$4:'Expenses'!$D$70,Expenses!$E$4:'Expenses'!$E$70,"&lt;="&amp;A9,Expenses!$F$4:'Expenses'!$F$70,"&gt;"&amp;A9,Expenses!$G$4:'Expenses'!$G$70,"=TRUE")*(1+Overall!$B$98)</f>
        <v>82500</v>
      </c>
      <c r="R9" s="104">
        <f>P9*SUMIFS(Expenses!$D$4:'Expenses'!$D$70,Expenses!$E$4:'Expenses'!$E$70,"&lt;="&amp;A9,Expenses!$F$4:'Expenses'!$F$70,"&gt;"&amp;A9,Expenses!$G$4:'Expenses'!$G$70,"=FALSE")</f>
        <v>24622.397124392755</v>
      </c>
      <c r="S9" s="46">
        <f>O9*SUMIFS(Income!$D$2:'Income'!$D$47,Income!$E$2:'Income'!$E$47,"&lt;="&amp;A9,Income!$F$2:'Income'!$F$47,"&gt;"&amp;A9,Income!$G$2:'Income'!$G$47,"=TRUE")</f>
        <v>161612.5</v>
      </c>
      <c r="T9" s="46">
        <f>P9*SUMIFS(Income!$D$2:'Income'!$D$47,Income!$E$2:'Income'!$E$47,"&lt;="&amp;A9,Income!$F$2:'Income'!$F$47,"&gt;"&amp;A9,Income!$G$2:'Income'!$G$47,"=FALSE")</f>
        <v>0</v>
      </c>
      <c r="U9" s="46">
        <f t="shared" si="5"/>
        <v>107122.39712439275</v>
      </c>
      <c r="V9" s="22">
        <f>MIN( MAX( (Overall!$B$65*AVERAGE(B9,L9)*C9*(1+N9)), MAX(U9-D9,0)), C9*(1+N9)) * Overall!$B$66</f>
        <v>52097.486899037642</v>
      </c>
      <c r="W9" s="22">
        <f t="shared" si="6"/>
        <v>213709.98689903764</v>
      </c>
      <c r="X9" s="78">
        <f>IF(W9&lt;=Overall!$D$59*O9,Overall!$B$58,IF(W9&lt;=Overall!$D$61*O9,Overall!$B$60,Overall!$B$62))</f>
        <v>0.2</v>
      </c>
      <c r="Y9" s="22">
        <f t="shared" si="7"/>
        <v>42741.99737980753</v>
      </c>
      <c r="Z9" s="10">
        <f t="shared" si="9"/>
        <v>0</v>
      </c>
    </row>
    <row r="10" spans="1:26" x14ac:dyDescent="0.3">
      <c r="A10">
        <f>Overall!$B$1+K10</f>
        <v>2033</v>
      </c>
      <c r="B10">
        <f>A10-Overall!$B$7</f>
        <v>63</v>
      </c>
      <c r="C10" s="104">
        <f>IF(K10&lt;=0,Overall!$B$89,H9)</f>
        <v>1692312.1990131431</v>
      </c>
      <c r="D10" s="22">
        <f t="shared" si="0"/>
        <v>161612.5</v>
      </c>
      <c r="E10" s="22">
        <f t="shared" si="1"/>
        <v>149817.44348955213</v>
      </c>
      <c r="F10" s="22">
        <f t="shared" si="2"/>
        <v>0</v>
      </c>
      <c r="G10" s="22">
        <f t="shared" si="3"/>
        <v>11795.056510447874</v>
      </c>
      <c r="H10" s="13">
        <f t="shared" si="4"/>
        <v>1753555.7924606097</v>
      </c>
      <c r="K10">
        <f t="shared" si="8"/>
        <v>8</v>
      </c>
      <c r="L10">
        <f>A10-Overall!$D$7</f>
        <v>63</v>
      </c>
      <c r="M10" s="80">
        <f>IF(Overall!$B$42&gt;0,Overall!$B$42,MIN(100,(MAX(20,120-B10)))/100)</f>
        <v>0.56999999999999995</v>
      </c>
      <c r="N10" s="10">
        <f>((1+(Overall!$D$43*M10+Overall!$D$44*(1-M10))) / (1+Overall!$B$45-Overall!$D$45)) -1</f>
        <v>2.9219512195122199E-2</v>
      </c>
      <c r="O10" s="1">
        <f>POWER(1+Overall!$D$45,$K10+1)</f>
        <v>1</v>
      </c>
      <c r="P10" s="1">
        <f>1/POWER((1+Overall!$B$45-Overall!$D$45),$K10+1)</f>
        <v>0.8007283617688703</v>
      </c>
      <c r="Q10" s="104">
        <f>O10*SUMIFS(Expenses!$D$4:'Expenses'!$D$70,Expenses!$E$4:'Expenses'!$E$70,"&lt;="&amp;A10,Expenses!$F$4:'Expenses'!$F$70,"&gt;"&amp;A10,Expenses!$G$4:'Expenses'!$G$70,"=TRUE")*(1+Overall!$B$98)</f>
        <v>82500</v>
      </c>
      <c r="R10" s="104">
        <f>P10*SUMIFS(Expenses!$D$4:'Expenses'!$D$70,Expenses!$E$4:'Expenses'!$E$70,"&lt;="&amp;A10,Expenses!$F$4:'Expenses'!$F$70,"&gt;"&amp;A10,Expenses!$G$4:'Expenses'!$G$70,"=FALSE")</f>
        <v>24021.850853066109</v>
      </c>
      <c r="S10" s="46">
        <f>O10*SUMIFS(Income!$D$2:'Income'!$D$47,Income!$E$2:'Income'!$E$47,"&lt;="&amp;A10,Income!$F$2:'Income'!$F$47,"&gt;"&amp;A10,Income!$G$2:'Income'!$G$47,"=TRUE")</f>
        <v>161612.5</v>
      </c>
      <c r="T10" s="46">
        <f>P10*SUMIFS(Income!$D$2:'Income'!$D$47,Income!$E$2:'Income'!$E$47,"&lt;="&amp;A10,Income!$F$2:'Income'!$F$47,"&gt;"&amp;A10,Income!$G$2:'Income'!$G$47,"=FALSE")</f>
        <v>0</v>
      </c>
      <c r="U10" s="46">
        <f t="shared" si="5"/>
        <v>106521.85085306611</v>
      </c>
      <c r="V10" s="22">
        <f>MIN( MAX( (Overall!$B$65*AVERAGE(B10,L10)*C10*(1+N10)), MAX(U10-D10,0)), C10*(1+N10)) * Overall!$B$66</f>
        <v>54865.463182430089</v>
      </c>
      <c r="W10" s="22">
        <f t="shared" si="6"/>
        <v>216477.96318243007</v>
      </c>
      <c r="X10" s="78">
        <f>IF(W10&lt;=Overall!$D$59*O10,Overall!$B$58,IF(W10&lt;=Overall!$D$61*O10,Overall!$B$60,Overall!$B$62))</f>
        <v>0.2</v>
      </c>
      <c r="Y10" s="22">
        <f t="shared" si="7"/>
        <v>43295.592636486021</v>
      </c>
      <c r="Z10" s="10">
        <f t="shared" si="9"/>
        <v>0</v>
      </c>
    </row>
    <row r="11" spans="1:26" x14ac:dyDescent="0.3">
      <c r="A11">
        <f>Overall!$B$1+K11</f>
        <v>2034</v>
      </c>
      <c r="B11">
        <f>A11-Overall!$B$7</f>
        <v>64</v>
      </c>
      <c r="C11" s="104">
        <f>IF(K11&lt;=0,Overall!$B$89,H10)</f>
        <v>1753555.7924606097</v>
      </c>
      <c r="D11" s="22">
        <f t="shared" si="0"/>
        <v>161612.5</v>
      </c>
      <c r="E11" s="22">
        <f t="shared" si="1"/>
        <v>149805.30044968921</v>
      </c>
      <c r="F11" s="22">
        <f t="shared" si="2"/>
        <v>0</v>
      </c>
      <c r="G11" s="22">
        <f t="shared" si="3"/>
        <v>11807.19955031079</v>
      </c>
      <c r="H11" s="13">
        <f t="shared" si="4"/>
        <v>1816002.2617249051</v>
      </c>
      <c r="K11">
        <f t="shared" si="8"/>
        <v>9</v>
      </c>
      <c r="L11">
        <f>A11-Overall!$D$7</f>
        <v>64</v>
      </c>
      <c r="M11" s="80">
        <f>IF(Overall!$B$42&gt;0,Overall!$B$42,MIN(100,(MAX(20,120-B11)))/100)</f>
        <v>0.56000000000000005</v>
      </c>
      <c r="N11" s="10">
        <f>((1+(Overall!$D$43*M11+Overall!$D$44*(1-M11))) / (1+Overall!$B$45-Overall!$D$45)) -1</f>
        <v>2.8878048780487831E-2</v>
      </c>
      <c r="O11" s="1">
        <f>POWER(1+Overall!$D$45,$K11+1)</f>
        <v>1</v>
      </c>
      <c r="P11" s="1">
        <f>1/POWER((1+Overall!$B$45-Overall!$D$45),$K11+1)</f>
        <v>0.78119840172572708</v>
      </c>
      <c r="Q11" s="104">
        <f>O11*SUMIFS(Expenses!$D$4:'Expenses'!$D$70,Expenses!$E$4:'Expenses'!$E$70,"&lt;="&amp;A11,Expenses!$F$4:'Expenses'!$F$70,"&gt;"&amp;A11,Expenses!$G$4:'Expenses'!$G$70,"=TRUE")*(1+Overall!$B$98)</f>
        <v>82500</v>
      </c>
      <c r="R11" s="104">
        <f>P11*SUMIFS(Expenses!$D$4:'Expenses'!$D$70,Expenses!$E$4:'Expenses'!$E$70,"&lt;="&amp;A11,Expenses!$F$4:'Expenses'!$F$70,"&gt;"&amp;A11,Expenses!$G$4:'Expenses'!$G$70,"=FALSE")</f>
        <v>23435.952051771812</v>
      </c>
      <c r="S11" s="46">
        <f>O11*SUMIFS(Income!$D$2:'Income'!$D$47,Income!$E$2:'Income'!$E$47,"&lt;="&amp;A11,Income!$F$2:'Income'!$F$47,"&gt;"&amp;A11,Income!$G$2:'Income'!$G$47,"=TRUE")</f>
        <v>161612.5</v>
      </c>
      <c r="T11" s="46">
        <f>P11*SUMIFS(Income!$D$2:'Income'!$D$47,Income!$E$2:'Income'!$E$47,"&lt;="&amp;A11,Income!$F$2:'Income'!$F$47,"&gt;"&amp;A11,Income!$G$2:'Income'!$G$47,"=FALSE")</f>
        <v>0</v>
      </c>
      <c r="U11" s="46">
        <f t="shared" si="5"/>
        <v>105935.9520517718</v>
      </c>
      <c r="V11" s="22">
        <f>MIN( MAX( (Overall!$B$65*AVERAGE(B11,L11)*C11*(1+N11)), MAX(U11-D11,0)), C11*(1+N11)) * Overall!$B$66</f>
        <v>57734.241989587019</v>
      </c>
      <c r="W11" s="22">
        <f t="shared" si="6"/>
        <v>219346.74198958703</v>
      </c>
      <c r="X11" s="78">
        <f>IF(W11&lt;=Overall!$D$59*O11,Overall!$B$58,IF(W11&lt;=Overall!$D$61*O11,Overall!$B$60,Overall!$B$62))</f>
        <v>0.2</v>
      </c>
      <c r="Y11" s="22">
        <f t="shared" si="7"/>
        <v>43869.348397917405</v>
      </c>
      <c r="Z11" s="10">
        <f t="shared" si="9"/>
        <v>0</v>
      </c>
    </row>
    <row r="12" spans="1:26" x14ac:dyDescent="0.3">
      <c r="A12">
        <f>Overall!$B$1+K12</f>
        <v>2035</v>
      </c>
      <c r="B12">
        <f>A12-Overall!$B$7</f>
        <v>65</v>
      </c>
      <c r="C12" s="104">
        <f>IF(K12&lt;=0,Overall!$B$89,H11)</f>
        <v>1816002.2617249051</v>
      </c>
      <c r="D12" s="22">
        <f t="shared" si="0"/>
        <v>26880</v>
      </c>
      <c r="E12" s="22">
        <f t="shared" si="1"/>
        <v>124124.46004977894</v>
      </c>
      <c r="F12" s="22">
        <f t="shared" si="2"/>
        <v>97244.460049778936</v>
      </c>
      <c r="G12" s="22">
        <f t="shared" si="3"/>
        <v>0</v>
      </c>
      <c r="H12" s="13">
        <f t="shared" si="4"/>
        <v>1770580.3052414223</v>
      </c>
      <c r="K12">
        <f t="shared" si="8"/>
        <v>10</v>
      </c>
      <c r="L12">
        <f>A12-Overall!$D$7</f>
        <v>65</v>
      </c>
      <c r="M12" s="80">
        <f>IF(Overall!$B$42&gt;0,Overall!$B$42,MIN(100,(MAX(20,120-B12)))/100)</f>
        <v>0.55000000000000004</v>
      </c>
      <c r="N12" s="10">
        <f>((1+(Overall!$D$43*M12+Overall!$D$44*(1-M12))) / (1+Overall!$B$45-Overall!$D$45)) -1</f>
        <v>2.8536585365853684E-2</v>
      </c>
      <c r="O12" s="1">
        <f>POWER(1+Overall!$D$45,$K12+1)</f>
        <v>1</v>
      </c>
      <c r="P12" s="1">
        <f>1/POWER((1+Overall!$B$45-Overall!$D$45),$K12+1)</f>
        <v>0.7621447821714411</v>
      </c>
      <c r="Q12" s="104">
        <f>O12*SUMIFS(Expenses!$D$4:'Expenses'!$D$70,Expenses!$E$4:'Expenses'!$E$70,"&lt;="&amp;A12,Expenses!$F$4:'Expenses'!$F$70,"&gt;"&amp;A12,Expenses!$G$4:'Expenses'!$G$70,"=TRUE")*(1+Overall!$B$98)</f>
        <v>90750.000000000015</v>
      </c>
      <c r="R12" s="104">
        <f>P12*SUMIFS(Expenses!$D$4:'Expenses'!$D$70,Expenses!$E$4:'Expenses'!$E$70,"&lt;="&amp;A12,Expenses!$F$4:'Expenses'!$F$70,"&gt;"&amp;A12,Expenses!$G$4:'Expenses'!$G$70,"=FALSE")</f>
        <v>22864.343465143233</v>
      </c>
      <c r="S12" s="46">
        <f>O12*SUMIFS(Income!$D$2:'Income'!$D$47,Income!$E$2:'Income'!$E$47,"&lt;="&amp;A12,Income!$F$2:'Income'!$F$47,"&gt;"&amp;A12,Income!$G$2:'Income'!$G$47,"=TRUE")</f>
        <v>26880</v>
      </c>
      <c r="T12" s="46">
        <f>P12*SUMIFS(Income!$D$2:'Income'!$D$47,Income!$E$2:'Income'!$E$47,"&lt;="&amp;A12,Income!$F$2:'Income'!$F$47,"&gt;"&amp;A12,Income!$G$2:'Income'!$G$47,"=FALSE")</f>
        <v>0</v>
      </c>
      <c r="U12" s="46">
        <f t="shared" si="5"/>
        <v>113614.34346514325</v>
      </c>
      <c r="V12" s="22">
        <f>MIN( MAX( (Overall!$B$65*AVERAGE(B12,L12)*C12*(1+N12)), MAX(U12-D12,0)), C12*(1+N12)) * Overall!$B$66</f>
        <v>60704.304871964043</v>
      </c>
      <c r="W12" s="22">
        <f t="shared" si="6"/>
        <v>87584.304871964036</v>
      </c>
      <c r="X12" s="78">
        <f>IF(W12&lt;=Overall!$D$59*O12,Overall!$B$58,IF(W12&lt;=Overall!$D$61*O12,Overall!$B$60,Overall!$B$62))</f>
        <v>0.12</v>
      </c>
      <c r="Y12" s="22">
        <f t="shared" si="7"/>
        <v>10510.116584635683</v>
      </c>
      <c r="Z12" s="10">
        <f t="shared" si="9"/>
        <v>5.3548644789358689E-2</v>
      </c>
    </row>
    <row r="13" spans="1:26" x14ac:dyDescent="0.3">
      <c r="A13">
        <f>Overall!$B$1+K13</f>
        <v>2036</v>
      </c>
      <c r="B13">
        <f>A13-Overall!$B$7</f>
        <v>66</v>
      </c>
      <c r="C13" s="104">
        <f>IF(K13&lt;=0,Overall!$B$89,H12)</f>
        <v>1770580.3052414223</v>
      </c>
      <c r="D13" s="22">
        <f t="shared" si="0"/>
        <v>26880</v>
      </c>
      <c r="E13" s="22">
        <f t="shared" si="1"/>
        <v>123491.46460153291</v>
      </c>
      <c r="F13" s="22">
        <f t="shared" si="2"/>
        <v>96611.464601532905</v>
      </c>
      <c r="G13" s="22">
        <f t="shared" si="3"/>
        <v>0</v>
      </c>
      <c r="H13" s="13">
        <f t="shared" si="4"/>
        <v>1723890.568270599</v>
      </c>
      <c r="K13">
        <f t="shared" si="8"/>
        <v>11</v>
      </c>
      <c r="L13">
        <f>A13-Overall!$D$7</f>
        <v>66</v>
      </c>
      <c r="M13" s="80">
        <f>IF(Overall!$B$42&gt;0,Overall!$B$42,MIN(100,(MAX(20,120-B13)))/100)</f>
        <v>0.54</v>
      </c>
      <c r="N13" s="10">
        <f>((1+(Overall!$D$43*M13+Overall!$D$44*(1-M13))) / (1+Overall!$B$45-Overall!$D$45)) -1</f>
        <v>2.8195121951219759E-2</v>
      </c>
      <c r="O13" s="1">
        <f>POWER(1+Overall!$D$45,$K13+1)</f>
        <v>1</v>
      </c>
      <c r="P13" s="1">
        <f>1/POWER((1+Overall!$B$45-Overall!$D$45),$K13+1)</f>
        <v>0.74355588504530845</v>
      </c>
      <c r="Q13" s="104">
        <f>O13*SUMIFS(Expenses!$D$4:'Expenses'!$D$70,Expenses!$E$4:'Expenses'!$E$70,"&lt;="&amp;A13,Expenses!$F$4:'Expenses'!$F$70,"&gt;"&amp;A13,Expenses!$G$4:'Expenses'!$G$70,"=TRUE")*(1+Overall!$B$98)</f>
        <v>90750.000000000015</v>
      </c>
      <c r="R13" s="104">
        <f>P13*SUMIFS(Expenses!$D$4:'Expenses'!$D$70,Expenses!$E$4:'Expenses'!$E$70,"&lt;="&amp;A13,Expenses!$F$4:'Expenses'!$F$70,"&gt;"&amp;A13,Expenses!$G$4:'Expenses'!$G$70,"=FALSE")</f>
        <v>22306.676551359255</v>
      </c>
      <c r="S13" s="46">
        <f>O13*SUMIFS(Income!$D$2:'Income'!$D$47,Income!$E$2:'Income'!$E$47,"&lt;="&amp;A13,Income!$F$2:'Income'!$F$47,"&gt;"&amp;A13,Income!$G$2:'Income'!$G$47,"=TRUE")</f>
        <v>26880</v>
      </c>
      <c r="T13" s="46">
        <f>P13*SUMIFS(Income!$D$2:'Income'!$D$47,Income!$E$2:'Income'!$E$47,"&lt;="&amp;A13,Income!$F$2:'Income'!$F$47,"&gt;"&amp;A13,Income!$G$2:'Income'!$G$47,"=FALSE")</f>
        <v>0</v>
      </c>
      <c r="U13" s="46">
        <f t="shared" si="5"/>
        <v>113056.67655135927</v>
      </c>
      <c r="V13" s="22">
        <f>MIN( MAX( (Overall!$B$65*AVERAGE(B13,L13)*C13*(1+N13)), MAX(U13-D13,0)), C13*(1+N13)) * Overall!$B$66</f>
        <v>60076.567084780356</v>
      </c>
      <c r="W13" s="22">
        <f t="shared" si="6"/>
        <v>86956.567084780356</v>
      </c>
      <c r="X13" s="78">
        <f>IF(W13&lt;=Overall!$D$59*O13,Overall!$B$58,IF(W13&lt;=Overall!$D$61*O13,Overall!$B$60,Overall!$B$62))</f>
        <v>0.12</v>
      </c>
      <c r="Y13" s="22">
        <f t="shared" si="7"/>
        <v>10434.788050173642</v>
      </c>
      <c r="Z13" s="10">
        <f t="shared" si="9"/>
        <v>5.4564858942311424E-2</v>
      </c>
    </row>
    <row r="14" spans="1:26" x14ac:dyDescent="0.3">
      <c r="A14">
        <f>Overall!$B$1+K14</f>
        <v>2037</v>
      </c>
      <c r="B14">
        <f>A14-Overall!$B$7</f>
        <v>67</v>
      </c>
      <c r="C14" s="104">
        <f>IF(K14&lt;=0,Overall!$B$89,H13)</f>
        <v>1723890.568270599</v>
      </c>
      <c r="D14" s="22">
        <f t="shared" si="0"/>
        <v>26880</v>
      </c>
      <c r="E14" s="22">
        <f t="shared" si="1"/>
        <v>122861.27832422366</v>
      </c>
      <c r="F14" s="22">
        <f t="shared" si="2"/>
        <v>95981.278324223662</v>
      </c>
      <c r="G14" s="22">
        <f t="shared" si="3"/>
        <v>0</v>
      </c>
      <c r="H14" s="13">
        <f t="shared" si="4"/>
        <v>1675925.9491894247</v>
      </c>
      <c r="K14">
        <f t="shared" si="8"/>
        <v>12</v>
      </c>
      <c r="L14">
        <f>A14-Overall!$D$7</f>
        <v>67</v>
      </c>
      <c r="M14" s="80">
        <f>IF(Overall!$B$42&gt;0,Overall!$B$42,MIN(100,(MAX(20,120-B14)))/100)</f>
        <v>0.53</v>
      </c>
      <c r="N14" s="10">
        <f>((1+(Overall!$D$43*M14+Overall!$D$44*(1-M14))) / (1+Overall!$B$45-Overall!$D$45)) -1</f>
        <v>2.7853658536585391E-2</v>
      </c>
      <c r="O14" s="1">
        <f>POWER(1+Overall!$D$45,$K14+1)</f>
        <v>1</v>
      </c>
      <c r="P14" s="1">
        <f>1/POWER((1+Overall!$B$45-Overall!$D$45),$K14+1)</f>
        <v>0.72542037565395945</v>
      </c>
      <c r="Q14" s="104">
        <f>O14*SUMIFS(Expenses!$D$4:'Expenses'!$D$70,Expenses!$E$4:'Expenses'!$E$70,"&lt;="&amp;A14,Expenses!$F$4:'Expenses'!$F$70,"&gt;"&amp;A14,Expenses!$G$4:'Expenses'!$G$70,"=TRUE")*(1+Overall!$B$98)</f>
        <v>90750.000000000015</v>
      </c>
      <c r="R14" s="104">
        <f>P14*SUMIFS(Expenses!$D$4:'Expenses'!$D$70,Expenses!$E$4:'Expenses'!$E$70,"&lt;="&amp;A14,Expenses!$F$4:'Expenses'!$F$70,"&gt;"&amp;A14,Expenses!$G$4:'Expenses'!$G$70,"=FALSE")</f>
        <v>21762.611269618785</v>
      </c>
      <c r="S14" s="46">
        <f>O14*SUMIFS(Income!$D$2:'Income'!$D$47,Income!$E$2:'Income'!$E$47,"&lt;="&amp;A14,Income!$F$2:'Income'!$F$47,"&gt;"&amp;A14,Income!$G$2:'Income'!$G$47,"=TRUE")</f>
        <v>26880</v>
      </c>
      <c r="T14" s="46">
        <f>P14*SUMIFS(Income!$D$2:'Income'!$D$47,Income!$E$2:'Income'!$E$47,"&lt;="&amp;A14,Income!$F$2:'Income'!$F$47,"&gt;"&amp;A14,Income!$G$2:'Income'!$G$47,"=FALSE")</f>
        <v>0</v>
      </c>
      <c r="U14" s="46">
        <f t="shared" si="5"/>
        <v>112512.61126961879</v>
      </c>
      <c r="V14" s="22">
        <f>MIN( MAX( (Overall!$B$65*AVERAGE(B14,L14)*C14*(1+N14)), MAX(U14-D14,0)), C14*(1+N14)) * Overall!$B$66</f>
        <v>59358.892121707227</v>
      </c>
      <c r="W14" s="22">
        <f t="shared" si="6"/>
        <v>86238.892121707235</v>
      </c>
      <c r="X14" s="78">
        <f>IF(W14&lt;=Overall!$D$59*O14,Overall!$B$58,IF(W14&lt;=Overall!$D$61*O14,Overall!$B$60,Overall!$B$62))</f>
        <v>0.12</v>
      </c>
      <c r="Y14" s="22">
        <f t="shared" si="7"/>
        <v>10348.667054604868</v>
      </c>
      <c r="Z14" s="10">
        <f t="shared" si="9"/>
        <v>5.5677129448252476E-2</v>
      </c>
    </row>
    <row r="15" spans="1:26" x14ac:dyDescent="0.3">
      <c r="A15">
        <f>Overall!$B$1+K15</f>
        <v>2038</v>
      </c>
      <c r="B15">
        <f>A15-Overall!$B$7</f>
        <v>68</v>
      </c>
      <c r="C15" s="104">
        <f>IF(K15&lt;=0,Overall!$B$89,H14)</f>
        <v>1675925.9491894247</v>
      </c>
      <c r="D15" s="22">
        <f t="shared" si="0"/>
        <v>26880</v>
      </c>
      <c r="E15" s="22">
        <f t="shared" si="1"/>
        <v>122233.31602452577</v>
      </c>
      <c r="F15" s="22">
        <f t="shared" si="2"/>
        <v>95353.316024525775</v>
      </c>
      <c r="G15" s="22">
        <f t="shared" si="3"/>
        <v>0</v>
      </c>
      <c r="H15" s="13">
        <f t="shared" si="4"/>
        <v>1626681.0348889397</v>
      </c>
      <c r="K15">
        <f t="shared" si="8"/>
        <v>13</v>
      </c>
      <c r="L15">
        <f>A15-Overall!$D$7</f>
        <v>68</v>
      </c>
      <c r="M15" s="80">
        <f>IF(Overall!$B$42&gt;0,Overall!$B$42,MIN(100,(MAX(20,120-B15)))/100)</f>
        <v>0.52</v>
      </c>
      <c r="N15" s="10">
        <f>((1+(Overall!$D$43*M15+Overall!$D$44*(1-M15))) / (1+Overall!$B$45-Overall!$D$45)) -1</f>
        <v>2.7512195121951244E-2</v>
      </c>
      <c r="O15" s="1">
        <f>POWER(1+Overall!$D$45,$K15+1)</f>
        <v>1</v>
      </c>
      <c r="P15" s="1">
        <f>1/POWER((1+Overall!$B$45-Overall!$D$45),$K15+1)</f>
        <v>0.70772719575996057</v>
      </c>
      <c r="Q15" s="104">
        <f>O15*SUMIFS(Expenses!$D$4:'Expenses'!$D$70,Expenses!$E$4:'Expenses'!$E$70,"&lt;="&amp;A15,Expenses!$F$4:'Expenses'!$F$70,"&gt;"&amp;A15,Expenses!$G$4:'Expenses'!$G$70,"=TRUE")*(1+Overall!$B$98)</f>
        <v>90750.000000000015</v>
      </c>
      <c r="R15" s="104">
        <f>P15*SUMIFS(Expenses!$D$4:'Expenses'!$D$70,Expenses!$E$4:'Expenses'!$E$70,"&lt;="&amp;A15,Expenses!$F$4:'Expenses'!$F$70,"&gt;"&amp;A15,Expenses!$G$4:'Expenses'!$G$70,"=FALSE")</f>
        <v>21231.815872798816</v>
      </c>
      <c r="S15" s="46">
        <f>O15*SUMIFS(Income!$D$2:'Income'!$D$47,Income!$E$2:'Income'!$E$47,"&lt;="&amp;A15,Income!$F$2:'Income'!$F$47,"&gt;"&amp;A15,Income!$G$2:'Income'!$G$47,"=TRUE")</f>
        <v>26880</v>
      </c>
      <c r="T15" s="46">
        <f>P15*SUMIFS(Income!$D$2:'Income'!$D$47,Income!$E$2:'Income'!$E$47,"&lt;="&amp;A15,Income!$F$2:'Income'!$F$47,"&gt;"&amp;A15,Income!$G$2:'Income'!$G$47,"=FALSE")</f>
        <v>0</v>
      </c>
      <c r="U15" s="46">
        <f t="shared" si="5"/>
        <v>111981.81587279883</v>
      </c>
      <c r="V15" s="22">
        <f>MIN( MAX( (Overall!$B$65*AVERAGE(B15,L15)*C15*(1+N15)), MAX(U15-D15,0)), C15*(1+N15)) * Overall!$B$66</f>
        <v>58549.167931057833</v>
      </c>
      <c r="W15" s="22">
        <f t="shared" si="6"/>
        <v>85429.167931057833</v>
      </c>
      <c r="X15" s="78">
        <f>IF(W15&lt;=Overall!$D$59*O15,Overall!$B$58,IF(W15&lt;=Overall!$D$61*O15,Overall!$B$60,Overall!$B$62))</f>
        <v>0.12</v>
      </c>
      <c r="Y15" s="22">
        <f t="shared" si="7"/>
        <v>10251.500151726939</v>
      </c>
      <c r="Z15" s="10">
        <f t="shared" si="9"/>
        <v>5.6895900484531664E-2</v>
      </c>
    </row>
    <row r="16" spans="1:26" x14ac:dyDescent="0.3">
      <c r="A16">
        <f>Overall!$B$1+K16</f>
        <v>2039</v>
      </c>
      <c r="B16">
        <f>A16-Overall!$B$7</f>
        <v>69</v>
      </c>
      <c r="C16" s="104">
        <f>IF(K16&lt;=0,Overall!$B$89,H15)</f>
        <v>1626681.0348889397</v>
      </c>
      <c r="D16" s="22">
        <f t="shared" si="0"/>
        <v>26880</v>
      </c>
      <c r="E16" s="22">
        <f t="shared" si="1"/>
        <v>121607.00638145531</v>
      </c>
      <c r="F16" s="22">
        <f t="shared" si="2"/>
        <v>94727.006381455314</v>
      </c>
      <c r="G16" s="22">
        <f t="shared" si="3"/>
        <v>0</v>
      </c>
      <c r="H16" s="13">
        <f t="shared" si="4"/>
        <v>1576152.142479833</v>
      </c>
      <c r="K16">
        <f t="shared" si="8"/>
        <v>14</v>
      </c>
      <c r="L16">
        <f>A16-Overall!$D$7</f>
        <v>69</v>
      </c>
      <c r="M16" s="80">
        <f>IF(Overall!$B$42&gt;0,Overall!$B$42,MIN(100,(MAX(20,120-B16)))/100)</f>
        <v>0.51</v>
      </c>
      <c r="N16" s="10">
        <f>((1+(Overall!$D$43*M16+Overall!$D$44*(1-M16))) / (1+Overall!$B$45-Overall!$D$45)) -1</f>
        <v>2.7170731707317319E-2</v>
      </c>
      <c r="O16" s="1">
        <f>POWER(1+Overall!$D$45,$K16+1)</f>
        <v>1</v>
      </c>
      <c r="P16" s="1">
        <f>1/POWER((1+Overall!$B$45-Overall!$D$45),$K16+1)</f>
        <v>0.69046555683898581</v>
      </c>
      <c r="Q16" s="104">
        <f>O16*SUMIFS(Expenses!$D$4:'Expenses'!$D$70,Expenses!$E$4:'Expenses'!$E$70,"&lt;="&amp;A16,Expenses!$F$4:'Expenses'!$F$70,"&gt;"&amp;A16,Expenses!$G$4:'Expenses'!$G$70,"=TRUE")*(1+Overall!$B$98)</f>
        <v>90750.000000000015</v>
      </c>
      <c r="R16" s="104">
        <f>P16*SUMIFS(Expenses!$D$4:'Expenses'!$D$70,Expenses!$E$4:'Expenses'!$E$70,"&lt;="&amp;A16,Expenses!$F$4:'Expenses'!$F$70,"&gt;"&amp;A16,Expenses!$G$4:'Expenses'!$G$70,"=FALSE")</f>
        <v>20713.966705169572</v>
      </c>
      <c r="S16" s="46">
        <f>O16*SUMIFS(Income!$D$2:'Income'!$D$47,Income!$E$2:'Income'!$E$47,"&lt;="&amp;A16,Income!$F$2:'Income'!$F$47,"&gt;"&amp;A16,Income!$G$2:'Income'!$G$47,"=TRUE")</f>
        <v>26880</v>
      </c>
      <c r="T16" s="46">
        <f>P16*SUMIFS(Income!$D$2:'Income'!$D$47,Income!$E$2:'Income'!$E$47,"&lt;="&amp;A16,Income!$F$2:'Income'!$F$47,"&gt;"&amp;A16,Income!$G$2:'Income'!$G$47,"=FALSE")</f>
        <v>0</v>
      </c>
      <c r="U16" s="46">
        <f t="shared" si="5"/>
        <v>111463.96670516959</v>
      </c>
      <c r="V16" s="22">
        <f>MIN( MAX( (Overall!$B$65*AVERAGE(B16,L16)*C16*(1+N16)), MAX(U16-D16,0)), C16*(1+N16)) * Overall!$B$66</f>
        <v>57645.330635714447</v>
      </c>
      <c r="W16" s="22">
        <f t="shared" si="6"/>
        <v>84525.330635714447</v>
      </c>
      <c r="X16" s="78">
        <f>IF(W16&lt;=Overall!$D$59*O16,Overall!$B$58,IF(W16&lt;=Overall!$D$61*O16,Overall!$B$60,Overall!$B$62))</f>
        <v>0.12</v>
      </c>
      <c r="Y16" s="22">
        <f t="shared" si="7"/>
        <v>10143.039676285733</v>
      </c>
      <c r="Z16" s="10">
        <f t="shared" si="9"/>
        <v>5.8233301028140852E-2</v>
      </c>
    </row>
    <row r="17" spans="1:26" x14ac:dyDescent="0.3">
      <c r="A17">
        <f>Overall!$B$1+K17</f>
        <v>2040</v>
      </c>
      <c r="B17">
        <f>A17-Overall!$B$7</f>
        <v>70</v>
      </c>
      <c r="C17" s="104">
        <f>IF(K17&lt;=0,Overall!$B$89,H16)</f>
        <v>1576152.142479833</v>
      </c>
      <c r="D17" s="22">
        <f t="shared" si="0"/>
        <v>26880</v>
      </c>
      <c r="E17" s="22">
        <f t="shared" si="1"/>
        <v>120981.79244000165</v>
      </c>
      <c r="F17" s="22">
        <f t="shared" si="2"/>
        <v>94101.792440001649</v>
      </c>
      <c r="G17" s="22">
        <f t="shared" si="3"/>
        <v>0</v>
      </c>
      <c r="H17" s="13">
        <f t="shared" si="4"/>
        <v>1524337.35874051</v>
      </c>
      <c r="K17">
        <f t="shared" si="8"/>
        <v>15</v>
      </c>
      <c r="L17">
        <f>A17-Overall!$D$7</f>
        <v>70</v>
      </c>
      <c r="M17" s="80">
        <f>IF(Overall!$B$42&gt;0,Overall!$B$42,MIN(100,(MAX(20,120-B17)))/100)</f>
        <v>0.5</v>
      </c>
      <c r="N17" s="10">
        <f>((1+(Overall!$D$43*M17+Overall!$D$44*(1-M17))) / (1+Overall!$B$45-Overall!$D$45)) -1</f>
        <v>2.6829268292682951E-2</v>
      </c>
      <c r="O17" s="1">
        <f>POWER(1+Overall!$D$45,$K17+1)</f>
        <v>1</v>
      </c>
      <c r="P17" s="1">
        <f>1/POWER((1+Overall!$B$45-Overall!$D$45),$K17+1)</f>
        <v>0.67362493350144959</v>
      </c>
      <c r="Q17" s="104">
        <f>O17*SUMIFS(Expenses!$D$4:'Expenses'!$D$70,Expenses!$E$4:'Expenses'!$E$70,"&lt;="&amp;A17,Expenses!$F$4:'Expenses'!$F$70,"&gt;"&amp;A17,Expenses!$G$4:'Expenses'!$G$70,"=TRUE")*(1+Overall!$B$98)</f>
        <v>90750.000000000015</v>
      </c>
      <c r="R17" s="104">
        <f>P17*SUMIFS(Expenses!$D$4:'Expenses'!$D$70,Expenses!$E$4:'Expenses'!$E$70,"&lt;="&amp;A17,Expenses!$F$4:'Expenses'!$F$70,"&gt;"&amp;A17,Expenses!$G$4:'Expenses'!$G$70,"=FALSE")</f>
        <v>20208.748005043486</v>
      </c>
      <c r="S17" s="46">
        <f>O17*SUMIFS(Income!$D$2:'Income'!$D$47,Income!$E$2:'Income'!$E$47,"&lt;="&amp;A17,Income!$F$2:'Income'!$F$47,"&gt;"&amp;A17,Income!$G$2:'Income'!$G$47,"=TRUE")</f>
        <v>26880</v>
      </c>
      <c r="T17" s="46">
        <f>P17*SUMIFS(Income!$D$2:'Income'!$D$47,Income!$E$2:'Income'!$E$47,"&lt;="&amp;A17,Income!$F$2:'Income'!$F$47,"&gt;"&amp;A17,Income!$G$2:'Income'!$G$47,"=FALSE")</f>
        <v>0</v>
      </c>
      <c r="U17" s="46">
        <f t="shared" si="5"/>
        <v>110958.7480050435</v>
      </c>
      <c r="V17" s="22">
        <f>MIN( MAX( (Overall!$B$65*AVERAGE(B17,L17)*C17*(1+N17)), MAX(U17-D17,0)), C17*(1+N17)) * Overall!$B$66</f>
        <v>56645.370291317908</v>
      </c>
      <c r="W17" s="22">
        <f t="shared" si="6"/>
        <v>83525.3702913179</v>
      </c>
      <c r="X17" s="78">
        <f>IF(W17&lt;=Overall!$D$59*O17,Overall!$B$58,IF(W17&lt;=Overall!$D$61*O17,Overall!$B$60,Overall!$B$62))</f>
        <v>0.12</v>
      </c>
      <c r="Y17" s="22">
        <f t="shared" si="7"/>
        <v>10023.044434958148</v>
      </c>
      <c r="Z17" s="10">
        <f t="shared" si="9"/>
        <v>5.9703495559728738E-2</v>
      </c>
    </row>
    <row r="18" spans="1:26" x14ac:dyDescent="0.3">
      <c r="A18">
        <f>Overall!$B$1+K18</f>
        <v>2041</v>
      </c>
      <c r="B18">
        <f>A18-Overall!$B$7</f>
        <v>71</v>
      </c>
      <c r="C18" s="104">
        <f>IF(K18&lt;=0,Overall!$B$89,H17)</f>
        <v>1524337.35874051</v>
      </c>
      <c r="D18" s="22">
        <f t="shared" si="0"/>
        <v>26880</v>
      </c>
      <c r="E18" s="22">
        <f t="shared" si="1"/>
        <v>120357.13211371562</v>
      </c>
      <c r="F18" s="22">
        <f t="shared" si="2"/>
        <v>93477.132113715619</v>
      </c>
      <c r="G18" s="22">
        <f t="shared" si="3"/>
        <v>0</v>
      </c>
      <c r="H18" s="13">
        <f t="shared" si="4"/>
        <v>1471236.5771534331</v>
      </c>
      <c r="K18">
        <f t="shared" si="8"/>
        <v>16</v>
      </c>
      <c r="L18">
        <f>A18-Overall!$D$7</f>
        <v>71</v>
      </c>
      <c r="M18" s="80">
        <f>IF(Overall!$B$42&gt;0,Overall!$B$42,MIN(100,(MAX(20,120-B18)))/100)</f>
        <v>0.49</v>
      </c>
      <c r="N18" s="10">
        <f>((1+(Overall!$D$43*M18+Overall!$D$44*(1-M18))) / (1+Overall!$B$45-Overall!$D$45)) -1</f>
        <v>2.6487804878048804E-2</v>
      </c>
      <c r="O18" s="1">
        <f>POWER(1+Overall!$D$45,$K18+1)</f>
        <v>1</v>
      </c>
      <c r="P18" s="1">
        <f>1/POWER((1+Overall!$B$45-Overall!$D$45),$K18+1)</f>
        <v>0.65719505707458503</v>
      </c>
      <c r="Q18" s="104">
        <f>O18*SUMIFS(Expenses!$D$4:'Expenses'!$D$70,Expenses!$E$4:'Expenses'!$E$70,"&lt;="&amp;A18,Expenses!$F$4:'Expenses'!$F$70,"&gt;"&amp;A18,Expenses!$G$4:'Expenses'!$G$70,"=TRUE")*(1+Overall!$B$98)</f>
        <v>90750.000000000015</v>
      </c>
      <c r="R18" s="104">
        <f>P18*SUMIFS(Expenses!$D$4:'Expenses'!$D$70,Expenses!$E$4:'Expenses'!$E$70,"&lt;="&amp;A18,Expenses!$F$4:'Expenses'!$F$70,"&gt;"&amp;A18,Expenses!$G$4:'Expenses'!$G$70,"=FALSE")</f>
        <v>19715.851712237552</v>
      </c>
      <c r="S18" s="46">
        <f>O18*SUMIFS(Income!$D$2:'Income'!$D$47,Income!$E$2:'Income'!$E$47,"&lt;="&amp;A18,Income!$F$2:'Income'!$F$47,"&gt;"&amp;A18,Income!$G$2:'Income'!$G$47,"=TRUE")</f>
        <v>26880</v>
      </c>
      <c r="T18" s="46">
        <f>P18*SUMIFS(Income!$D$2:'Income'!$D$47,Income!$E$2:'Income'!$E$47,"&lt;="&amp;A18,Income!$F$2:'Income'!$F$47,"&gt;"&amp;A18,Income!$G$2:'Income'!$G$47,"=FALSE")</f>
        <v>0</v>
      </c>
      <c r="U18" s="46">
        <f t="shared" si="5"/>
        <v>110465.85171223756</v>
      </c>
      <c r="V18" s="22">
        <f>MIN( MAX( (Overall!$B$65*AVERAGE(B18,L18)*C18*(1+N18)), MAX(U18-D18,0)), C18*(1+N18)) * Overall!$B$66</f>
        <v>55547.336678983789</v>
      </c>
      <c r="W18" s="22">
        <f t="shared" si="6"/>
        <v>82427.336678983789</v>
      </c>
      <c r="X18" s="78">
        <f>IF(W18&lt;=Overall!$D$59*O18,Overall!$B$58,IF(W18&lt;=Overall!$D$61*O18,Overall!$B$60,Overall!$B$62))</f>
        <v>0.12</v>
      </c>
      <c r="Y18" s="22">
        <f t="shared" si="7"/>
        <v>9891.280401478054</v>
      </c>
      <c r="Z18" s="10">
        <f t="shared" si="9"/>
        <v>6.1323126129344152E-2</v>
      </c>
    </row>
    <row r="19" spans="1:26" x14ac:dyDescent="0.3">
      <c r="A19">
        <f>Overall!$B$1+K19</f>
        <v>2042</v>
      </c>
      <c r="B19">
        <f>A19-Overall!$B$7</f>
        <v>72</v>
      </c>
      <c r="C19" s="104">
        <f>IF(K19&lt;=0,Overall!$B$89,H18)</f>
        <v>1471236.5771534331</v>
      </c>
      <c r="D19" s="22">
        <f t="shared" si="0"/>
        <v>26880</v>
      </c>
      <c r="E19" s="22">
        <f t="shared" si="1"/>
        <v>119732.49869446779</v>
      </c>
      <c r="F19" s="22">
        <f t="shared" si="2"/>
        <v>92852.498694467795</v>
      </c>
      <c r="G19" s="22">
        <f t="shared" si="3"/>
        <v>0</v>
      </c>
      <c r="H19" s="13">
        <f t="shared" si="4"/>
        <v>1416851.5323786847</v>
      </c>
      <c r="K19">
        <f t="shared" si="8"/>
        <v>17</v>
      </c>
      <c r="L19">
        <f>A19-Overall!$D$7</f>
        <v>72</v>
      </c>
      <c r="M19" s="80">
        <f>IF(Overall!$B$42&gt;0,Overall!$B$42,MIN(100,(MAX(20,120-B19)))/100)</f>
        <v>0.48</v>
      </c>
      <c r="N19" s="10">
        <f>((1+(Overall!$D$43*M19+Overall!$D$44*(1-M19))) / (1+Overall!$B$45-Overall!$D$45)) -1</f>
        <v>2.6146341463414879E-2</v>
      </c>
      <c r="O19" s="1">
        <f>POWER(1+Overall!$D$45,$K19+1)</f>
        <v>1</v>
      </c>
      <c r="P19" s="1">
        <f>1/POWER((1+Overall!$B$45-Overall!$D$45),$K19+1)</f>
        <v>0.64116590934105855</v>
      </c>
      <c r="Q19" s="104">
        <f>O19*SUMIFS(Expenses!$D$4:'Expenses'!$D$70,Expenses!$E$4:'Expenses'!$E$70,"&lt;="&amp;A19,Expenses!$F$4:'Expenses'!$F$70,"&gt;"&amp;A19,Expenses!$G$4:'Expenses'!$G$70,"=TRUE")*(1+Overall!$B$98)</f>
        <v>90750.000000000015</v>
      </c>
      <c r="R19" s="104">
        <f>P19*SUMIFS(Expenses!$D$4:'Expenses'!$D$70,Expenses!$E$4:'Expenses'!$E$70,"&lt;="&amp;A19,Expenses!$F$4:'Expenses'!$F$70,"&gt;"&amp;A19,Expenses!$G$4:'Expenses'!$G$70,"=FALSE")</f>
        <v>19234.977280231757</v>
      </c>
      <c r="S19" s="46">
        <f>O19*SUMIFS(Income!$D$2:'Income'!$D$47,Income!$E$2:'Income'!$E$47,"&lt;="&amp;A19,Income!$F$2:'Income'!$F$47,"&gt;"&amp;A19,Income!$G$2:'Income'!$G$47,"=TRUE")</f>
        <v>26880</v>
      </c>
      <c r="T19" s="46">
        <f>P19*SUMIFS(Income!$D$2:'Income'!$D$47,Income!$E$2:'Income'!$E$47,"&lt;="&amp;A19,Income!$F$2:'Income'!$F$47,"&gt;"&amp;A19,Income!$G$2:'Income'!$G$47,"=FALSE")</f>
        <v>0</v>
      </c>
      <c r="U19" s="46">
        <f t="shared" si="5"/>
        <v>109984.97728023177</v>
      </c>
      <c r="V19" s="22">
        <f>MIN( MAX( (Overall!$B$65*AVERAGE(B19,L19)*C19*(1+N19)), MAX(U19-D19,0)), C19*(1+N19)) * Overall!$B$66</f>
        <v>54349.345118633493</v>
      </c>
      <c r="W19" s="22">
        <f t="shared" si="6"/>
        <v>81229.345118633501</v>
      </c>
      <c r="X19" s="78">
        <f>IF(W19&lt;=Overall!$D$59*O19,Overall!$B$58,IF(W19&lt;=Overall!$D$61*O19,Overall!$B$60,Overall!$B$62))</f>
        <v>0.12</v>
      </c>
      <c r="Y19" s="22">
        <f t="shared" si="7"/>
        <v>9747.5214142360201</v>
      </c>
      <c r="Z19" s="10">
        <f t="shared" si="9"/>
        <v>6.3111874824455474E-2</v>
      </c>
    </row>
    <row r="20" spans="1:26" x14ac:dyDescent="0.3">
      <c r="A20">
        <f>Overall!$B$1+K20</f>
        <v>2043</v>
      </c>
      <c r="B20">
        <f>A20-Overall!$B$7</f>
        <v>73</v>
      </c>
      <c r="C20" s="104">
        <f>IF(K20&lt;=0,Overall!$B$89,H19)</f>
        <v>1416851.5323786847</v>
      </c>
      <c r="D20" s="22">
        <f t="shared" si="0"/>
        <v>26880</v>
      </c>
      <c r="E20" s="22">
        <f t="shared" si="1"/>
        <v>119107.3813675351</v>
      </c>
      <c r="F20" s="22">
        <f t="shared" si="2"/>
        <v>92227.381367535098</v>
      </c>
      <c r="G20" s="22">
        <f t="shared" si="3"/>
        <v>0</v>
      </c>
      <c r="H20" s="13">
        <f t="shared" si="4"/>
        <v>1361185.8320174094</v>
      </c>
      <c r="K20">
        <f t="shared" si="8"/>
        <v>18</v>
      </c>
      <c r="L20">
        <f>A20-Overall!$D$7</f>
        <v>73</v>
      </c>
      <c r="M20" s="80">
        <f>IF(Overall!$B$42&gt;0,Overall!$B$42,MIN(100,(MAX(20,120-B20)))/100)</f>
        <v>0.47</v>
      </c>
      <c r="N20" s="10">
        <f>((1+(Overall!$D$43*M20+Overall!$D$44*(1-M20))) / (1+Overall!$B$45-Overall!$D$45)) -1</f>
        <v>2.5804878048780511E-2</v>
      </c>
      <c r="O20" s="1">
        <f>POWER(1+Overall!$D$45,$K20+1)</f>
        <v>1</v>
      </c>
      <c r="P20" s="1">
        <f>1/POWER((1+Overall!$B$45-Overall!$D$45),$K20+1)</f>
        <v>0.62552771643030103</v>
      </c>
      <c r="Q20" s="104">
        <f>O20*SUMIFS(Expenses!$D$4:'Expenses'!$D$70,Expenses!$E$4:'Expenses'!$E$70,"&lt;="&amp;A20,Expenses!$F$4:'Expenses'!$F$70,"&gt;"&amp;A20,Expenses!$G$4:'Expenses'!$G$70,"=TRUE")*(1+Overall!$B$98)</f>
        <v>90750.000000000015</v>
      </c>
      <c r="R20" s="104">
        <f>P20*SUMIFS(Expenses!$D$4:'Expenses'!$D$70,Expenses!$E$4:'Expenses'!$E$70,"&lt;="&amp;A20,Expenses!$F$4:'Expenses'!$F$70,"&gt;"&amp;A20,Expenses!$G$4:'Expenses'!$G$70,"=FALSE")</f>
        <v>18765.83149290903</v>
      </c>
      <c r="S20" s="46">
        <f>O20*SUMIFS(Income!$D$2:'Income'!$D$47,Income!$E$2:'Income'!$E$47,"&lt;="&amp;A20,Income!$F$2:'Income'!$F$47,"&gt;"&amp;A20,Income!$G$2:'Income'!$G$47,"=TRUE")</f>
        <v>26880</v>
      </c>
      <c r="T20" s="46">
        <f>P20*SUMIFS(Income!$D$2:'Income'!$D$47,Income!$E$2:'Income'!$E$47,"&lt;="&amp;A20,Income!$F$2:'Income'!$F$47,"&gt;"&amp;A20,Income!$G$2:'Income'!$G$47,"=FALSE")</f>
        <v>0</v>
      </c>
      <c r="U20" s="46">
        <f t="shared" si="5"/>
        <v>109515.83149290904</v>
      </c>
      <c r="V20" s="22">
        <f>MIN( MAX( (Overall!$B$65*AVERAGE(B20,L20)*C20*(1+N20)), MAX(U20-D20,0)), C20*(1+N20)) * Overall!$B$66</f>
        <v>53049.582288550475</v>
      </c>
      <c r="W20" s="22">
        <f t="shared" si="6"/>
        <v>79929.582288550475</v>
      </c>
      <c r="X20" s="78">
        <f>IF(W20&lt;=Overall!$D$59*O20,Overall!$B$58,IF(W20&lt;=Overall!$D$61*O20,Overall!$B$60,Overall!$B$62))</f>
        <v>0.12</v>
      </c>
      <c r="Y20" s="22">
        <f t="shared" si="7"/>
        <v>9591.5498746260564</v>
      </c>
      <c r="Z20" s="10">
        <f t="shared" si="9"/>
        <v>6.5093186731215891E-2</v>
      </c>
    </row>
    <row r="21" spans="1:26" x14ac:dyDescent="0.3">
      <c r="A21">
        <f>Overall!$B$1+K21</f>
        <v>2044</v>
      </c>
      <c r="B21">
        <f>A21-Overall!$B$7</f>
        <v>74</v>
      </c>
      <c r="C21" s="104">
        <f>IF(K21&lt;=0,Overall!$B$89,H20)</f>
        <v>1361185.8320174094</v>
      </c>
      <c r="D21" s="22">
        <f t="shared" si="0"/>
        <v>26880</v>
      </c>
      <c r="E21" s="22">
        <f t="shared" si="1"/>
        <v>118481.28573012465</v>
      </c>
      <c r="F21" s="22">
        <f t="shared" si="2"/>
        <v>91601.285730124655</v>
      </c>
      <c r="G21" s="22">
        <f t="shared" si="3"/>
        <v>0</v>
      </c>
      <c r="H21" s="13">
        <f t="shared" si="4"/>
        <v>1304244.9855220695</v>
      </c>
      <c r="K21">
        <f t="shared" si="8"/>
        <v>19</v>
      </c>
      <c r="L21">
        <f>A21-Overall!$D$7</f>
        <v>74</v>
      </c>
      <c r="M21" s="80">
        <f>IF(Overall!$B$42&gt;0,Overall!$B$42,MIN(100,(MAX(20,120-B21)))/100)</f>
        <v>0.46</v>
      </c>
      <c r="N21" s="10">
        <f>((1+(Overall!$D$43*M21+Overall!$D$44*(1-M21))) / (1+Overall!$B$45-Overall!$D$45)) -1</f>
        <v>2.5463414634146364E-2</v>
      </c>
      <c r="O21" s="1">
        <f>POWER(1+Overall!$D$45,$K21+1)</f>
        <v>1</v>
      </c>
      <c r="P21" s="1">
        <f>1/POWER((1+Overall!$B$45-Overall!$D$45),$K21+1)</f>
        <v>0.61027094285883032</v>
      </c>
      <c r="Q21" s="104">
        <f>O21*SUMIFS(Expenses!$D$4:'Expenses'!$D$70,Expenses!$E$4:'Expenses'!$E$70,"&lt;="&amp;A21,Expenses!$F$4:'Expenses'!$F$70,"&gt;"&amp;A21,Expenses!$G$4:'Expenses'!$G$70,"=TRUE")*(1+Overall!$B$98)</f>
        <v>90750.000000000015</v>
      </c>
      <c r="R21" s="104">
        <f>P21*SUMIFS(Expenses!$D$4:'Expenses'!$D$70,Expenses!$E$4:'Expenses'!$E$70,"&lt;="&amp;A21,Expenses!$F$4:'Expenses'!$F$70,"&gt;"&amp;A21,Expenses!$G$4:'Expenses'!$G$70,"=FALSE")</f>
        <v>18308.128285764909</v>
      </c>
      <c r="S21" s="46">
        <f>O21*SUMIFS(Income!$D$2:'Income'!$D$47,Income!$E$2:'Income'!$E$47,"&lt;="&amp;A21,Income!$F$2:'Income'!$F$47,"&gt;"&amp;A21,Income!$G$2:'Income'!$G$47,"=TRUE")</f>
        <v>26880</v>
      </c>
      <c r="T21" s="46">
        <f>P21*SUMIFS(Income!$D$2:'Income'!$D$47,Income!$E$2:'Income'!$E$47,"&lt;="&amp;A21,Income!$F$2:'Income'!$F$47,"&gt;"&amp;A21,Income!$G$2:'Income'!$G$47,"=FALSE")</f>
        <v>0</v>
      </c>
      <c r="U21" s="46">
        <f t="shared" si="5"/>
        <v>109058.12828576492</v>
      </c>
      <c r="V21" s="22">
        <f>MIN( MAX( (Overall!$B$65*AVERAGE(B21,L21)*C21*(1+N21)), MAX(U21-D21,0)), C21*(1+N21)) * Overall!$B$66</f>
        <v>51646.312036331183</v>
      </c>
      <c r="W21" s="22">
        <f t="shared" si="6"/>
        <v>78526.31203633119</v>
      </c>
      <c r="X21" s="78">
        <f>IF(W21&lt;=Overall!$D$59*O21,Overall!$B$58,IF(W21&lt;=Overall!$D$61*O21,Overall!$B$60,Overall!$B$62))</f>
        <v>0.12</v>
      </c>
      <c r="Y21" s="22">
        <f t="shared" si="7"/>
        <v>9423.1574443597419</v>
      </c>
      <c r="Z21" s="10">
        <f t="shared" si="9"/>
        <v>6.7295209497121103E-2</v>
      </c>
    </row>
    <row r="22" spans="1:26" x14ac:dyDescent="0.3">
      <c r="A22">
        <f>Overall!$B$1+K22</f>
        <v>2045</v>
      </c>
      <c r="B22">
        <f>A22-Overall!$B$7</f>
        <v>75</v>
      </c>
      <c r="C22" s="104">
        <f>IF(K22&lt;=0,Overall!$B$89,H21)</f>
        <v>1304244.9855220695</v>
      </c>
      <c r="D22" s="22">
        <f t="shared" si="0"/>
        <v>26880</v>
      </c>
      <c r="E22" s="22">
        <f t="shared" si="1"/>
        <v>243160.74742862579</v>
      </c>
      <c r="F22" s="22">
        <f t="shared" si="2"/>
        <v>216280.74742862579</v>
      </c>
      <c r="G22" s="22">
        <f t="shared" si="3"/>
        <v>0</v>
      </c>
      <c r="H22" s="13">
        <f t="shared" si="4"/>
        <v>1120729.4169980229</v>
      </c>
      <c r="K22">
        <f t="shared" si="8"/>
        <v>20</v>
      </c>
      <c r="L22">
        <f>A22-Overall!$D$7</f>
        <v>75</v>
      </c>
      <c r="M22" s="80">
        <f>IF(Overall!$B$42&gt;0,Overall!$B$42,MIN(100,(MAX(20,120-B22)))/100)</f>
        <v>0.45</v>
      </c>
      <c r="N22" s="10">
        <f>((1+(Overall!$D$43*M22+Overall!$D$44*(1-M22))) / (1+Overall!$B$45-Overall!$D$45)) -1</f>
        <v>2.5121951219512439E-2</v>
      </c>
      <c r="O22" s="1">
        <f>POWER(1+Overall!$D$45,$K22+1)</f>
        <v>1</v>
      </c>
      <c r="P22" s="1">
        <f>1/POWER((1+Overall!$B$45-Overall!$D$45),$K22+1)</f>
        <v>0.59538628571593211</v>
      </c>
      <c r="Q22" s="104">
        <f>O22*SUMIFS(Expenses!$D$4:'Expenses'!$D$70,Expenses!$E$4:'Expenses'!$E$70,"&lt;="&amp;A22,Expenses!$F$4:'Expenses'!$F$70,"&gt;"&amp;A22,Expenses!$G$4:'Expenses'!$G$70,"=TRUE")*(1+Overall!$B$98)</f>
        <v>200750.00000000003</v>
      </c>
      <c r="R22" s="104">
        <f>P22*SUMIFS(Expenses!$D$4:'Expenses'!$D$70,Expenses!$E$4:'Expenses'!$E$70,"&lt;="&amp;A22,Expenses!$F$4:'Expenses'!$F$70,"&gt;"&amp;A22,Expenses!$G$4:'Expenses'!$G$70,"=FALSE")</f>
        <v>17861.588571477962</v>
      </c>
      <c r="S22" s="46">
        <f>O22*SUMIFS(Income!$D$2:'Income'!$D$47,Income!$E$2:'Income'!$E$47,"&lt;="&amp;A22,Income!$F$2:'Income'!$F$47,"&gt;"&amp;A22,Income!$G$2:'Income'!$G$47,"=TRUE")</f>
        <v>26880</v>
      </c>
      <c r="T22" s="46">
        <f>P22*SUMIFS(Income!$D$2:'Income'!$D$47,Income!$E$2:'Income'!$E$47,"&lt;="&amp;A22,Income!$F$2:'Income'!$F$47,"&gt;"&amp;A22,Income!$G$2:'Income'!$G$47,"=FALSE")</f>
        <v>0</v>
      </c>
      <c r="U22" s="46">
        <f t="shared" si="5"/>
        <v>218611.588571478</v>
      </c>
      <c r="V22" s="22">
        <f>MIN( MAX( (Overall!$B$65*AVERAGE(B22,L22)*C22*(1+N22)), MAX(U22-D22,0)), C22*(1+N22)) * Overall!$B$66</f>
        <v>95865.794285739001</v>
      </c>
      <c r="W22" s="22">
        <f t="shared" si="6"/>
        <v>122745.794285739</v>
      </c>
      <c r="X22" s="78">
        <f>IF(W22&lt;=Overall!$D$59*O22,Overall!$B$58,IF(W22&lt;=Overall!$D$61*O22,Overall!$B$60,Overall!$B$62))</f>
        <v>0.2</v>
      </c>
      <c r="Y22" s="22">
        <f t="shared" si="7"/>
        <v>24549.158857147802</v>
      </c>
      <c r="Z22" s="10">
        <f t="shared" si="9"/>
        <v>0.16582831433471212</v>
      </c>
    </row>
    <row r="23" spans="1:26" x14ac:dyDescent="0.3">
      <c r="A23">
        <f>Overall!$B$1+K23</f>
        <v>2046</v>
      </c>
      <c r="B23">
        <f>A23-Overall!$B$7</f>
        <v>76</v>
      </c>
      <c r="C23" s="104">
        <f>IF(K23&lt;=0,Overall!$B$89,H22)</f>
        <v>1120729.4169980229</v>
      </c>
      <c r="D23" s="22">
        <f t="shared" si="0"/>
        <v>26880</v>
      </c>
      <c r="E23" s="22">
        <f t="shared" si="1"/>
        <v>242681.53407670811</v>
      </c>
      <c r="F23" s="22">
        <f t="shared" si="2"/>
        <v>215801.53407670811</v>
      </c>
      <c r="G23" s="22">
        <f t="shared" si="3"/>
        <v>0</v>
      </c>
      <c r="H23" s="13">
        <f t="shared" si="4"/>
        <v>932700.10457180231</v>
      </c>
      <c r="K23">
        <f t="shared" si="8"/>
        <v>21</v>
      </c>
      <c r="L23">
        <f>A23-Overall!$D$7</f>
        <v>76</v>
      </c>
      <c r="M23" s="80">
        <f>IF(Overall!$B$42&gt;0,Overall!$B$42,MIN(100,(MAX(20,120-B23)))/100)</f>
        <v>0.44</v>
      </c>
      <c r="N23" s="10">
        <f>((1+(Overall!$D$43*M23+Overall!$D$44*(1-M23))) / (1+Overall!$B$45-Overall!$D$45)) -1</f>
        <v>2.4780487804878071E-2</v>
      </c>
      <c r="O23" s="1">
        <f>POWER(1+Overall!$D$45,$K23+1)</f>
        <v>1</v>
      </c>
      <c r="P23" s="1">
        <f>1/POWER((1+Overall!$B$45-Overall!$D$45),$K23+1)</f>
        <v>0.5808646689911533</v>
      </c>
      <c r="Q23" s="104">
        <f>O23*SUMIFS(Expenses!$D$4:'Expenses'!$D$70,Expenses!$E$4:'Expenses'!$E$70,"&lt;="&amp;A23,Expenses!$F$4:'Expenses'!$F$70,"&gt;"&amp;A23,Expenses!$G$4:'Expenses'!$G$70,"=TRUE")*(1+Overall!$B$98)</f>
        <v>200750.00000000003</v>
      </c>
      <c r="R23" s="104">
        <f>P23*SUMIFS(Expenses!$D$4:'Expenses'!$D$70,Expenses!$E$4:'Expenses'!$E$70,"&lt;="&amp;A23,Expenses!$F$4:'Expenses'!$F$70,"&gt;"&amp;A23,Expenses!$G$4:'Expenses'!$G$70,"=FALSE")</f>
        <v>17425.940069734599</v>
      </c>
      <c r="S23" s="46">
        <f>O23*SUMIFS(Income!$D$2:'Income'!$D$47,Income!$E$2:'Income'!$E$47,"&lt;="&amp;A23,Income!$F$2:'Income'!$F$47,"&gt;"&amp;A23,Income!$G$2:'Income'!$G$47,"=TRUE")</f>
        <v>26880</v>
      </c>
      <c r="T23" s="46">
        <f>P23*SUMIFS(Income!$D$2:'Income'!$D$47,Income!$E$2:'Income'!$E$47,"&lt;="&amp;A23,Income!$F$2:'Income'!$F$47,"&gt;"&amp;A23,Income!$G$2:'Income'!$G$47,"=FALSE")</f>
        <v>0</v>
      </c>
      <c r="U23" s="46">
        <f t="shared" si="5"/>
        <v>218175.94006973464</v>
      </c>
      <c r="V23" s="22">
        <f>MIN( MAX( (Overall!$B$65*AVERAGE(B23,L23)*C23*(1+N23)), MAX(U23-D23,0)), C23*(1+N23)) * Overall!$B$66</f>
        <v>95647.970034867321</v>
      </c>
      <c r="W23" s="22">
        <f t="shared" si="6"/>
        <v>122527.97003486732</v>
      </c>
      <c r="X23" s="78">
        <f>IF(W23&lt;=Overall!$D$59*O23,Overall!$B$58,IF(W23&lt;=Overall!$D$61*O23,Overall!$B$60,Overall!$B$62))</f>
        <v>0.2</v>
      </c>
      <c r="Y23" s="22">
        <f t="shared" si="7"/>
        <v>24505.594006973464</v>
      </c>
      <c r="Z23" s="10">
        <f t="shared" si="9"/>
        <v>0.19255453707528478</v>
      </c>
    </row>
    <row r="24" spans="1:26" x14ac:dyDescent="0.3">
      <c r="A24">
        <f>Overall!$B$1+K24</f>
        <v>2047</v>
      </c>
      <c r="B24">
        <f>A24-Overall!$B$7</f>
        <v>77</v>
      </c>
      <c r="C24" s="104">
        <f>IF(K24&lt;=0,Overall!$B$89,H23)</f>
        <v>932700.10457180231</v>
      </c>
      <c r="D24" s="22">
        <f t="shared" si="0"/>
        <v>26880</v>
      </c>
      <c r="E24" s="22">
        <f t="shared" si="1"/>
        <v>242214.008855325</v>
      </c>
      <c r="F24" s="22">
        <f t="shared" si="2"/>
        <v>215334.008855325</v>
      </c>
      <c r="G24" s="22">
        <f t="shared" si="3"/>
        <v>0</v>
      </c>
      <c r="H24" s="13">
        <f t="shared" si="4"/>
        <v>740160.37632089062</v>
      </c>
      <c r="K24">
        <f t="shared" si="8"/>
        <v>22</v>
      </c>
      <c r="L24">
        <f>A24-Overall!$D$7</f>
        <v>77</v>
      </c>
      <c r="M24" s="80">
        <f>IF(Overall!$B$42&gt;0,Overall!$B$42,MIN(100,(MAX(20,120-B24)))/100)</f>
        <v>0.43</v>
      </c>
      <c r="N24" s="10">
        <f>((1+(Overall!$D$43*M24+Overall!$D$44*(1-M24))) / (1+Overall!$B$45-Overall!$D$45)) -1</f>
        <v>2.4439024390243924E-2</v>
      </c>
      <c r="O24" s="1">
        <f>POWER(1+Overall!$D$45,$K24+1)</f>
        <v>1</v>
      </c>
      <c r="P24" s="1">
        <f>1/POWER((1+Overall!$B$45-Overall!$D$45),$K24+1)</f>
        <v>0.5666972380401496</v>
      </c>
      <c r="Q24" s="104">
        <f>O24*SUMIFS(Expenses!$D$4:'Expenses'!$D$70,Expenses!$E$4:'Expenses'!$E$70,"&lt;="&amp;A24,Expenses!$F$4:'Expenses'!$F$70,"&gt;"&amp;A24,Expenses!$G$4:'Expenses'!$G$70,"=TRUE")*(1+Overall!$B$98)</f>
        <v>200750.00000000003</v>
      </c>
      <c r="R24" s="104">
        <f>P24*SUMIFS(Expenses!$D$4:'Expenses'!$D$70,Expenses!$E$4:'Expenses'!$E$70,"&lt;="&amp;A24,Expenses!$F$4:'Expenses'!$F$70,"&gt;"&amp;A24,Expenses!$G$4:'Expenses'!$G$70,"=FALSE")</f>
        <v>17000.917141204489</v>
      </c>
      <c r="S24" s="46">
        <f>O24*SUMIFS(Income!$D$2:'Income'!$D$47,Income!$E$2:'Income'!$E$47,"&lt;="&amp;A24,Income!$F$2:'Income'!$F$47,"&gt;"&amp;A24,Income!$G$2:'Income'!$G$47,"=TRUE")</f>
        <v>26880</v>
      </c>
      <c r="T24" s="46">
        <f>P24*SUMIFS(Income!$D$2:'Income'!$D$47,Income!$E$2:'Income'!$E$47,"&lt;="&amp;A24,Income!$F$2:'Income'!$F$47,"&gt;"&amp;A24,Income!$G$2:'Income'!$G$47,"=FALSE")</f>
        <v>0</v>
      </c>
      <c r="U24" s="46">
        <f t="shared" si="5"/>
        <v>217750.91714120453</v>
      </c>
      <c r="V24" s="22">
        <f>MIN( MAX( (Overall!$B$65*AVERAGE(B24,L24)*C24*(1+N24)), MAX(U24-D24,0)), C24*(1+N24)) * Overall!$B$66</f>
        <v>95435.458570602263</v>
      </c>
      <c r="W24" s="22">
        <f t="shared" si="6"/>
        <v>122315.45857060226</v>
      </c>
      <c r="X24" s="78">
        <f>IF(W24&lt;=Overall!$D$59*O24,Overall!$B$58,IF(W24&lt;=Overall!$D$61*O24,Overall!$B$60,Overall!$B$62))</f>
        <v>0.2</v>
      </c>
      <c r="Y24" s="22">
        <f t="shared" si="7"/>
        <v>24463.091714120455</v>
      </c>
      <c r="Z24" s="10">
        <f t="shared" si="9"/>
        <v>0.23087164652370626</v>
      </c>
    </row>
    <row r="25" spans="1:26" x14ac:dyDescent="0.3">
      <c r="A25">
        <f>Overall!$B$1+K25</f>
        <v>2048</v>
      </c>
      <c r="B25">
        <f>A25-Overall!$B$7</f>
        <v>78</v>
      </c>
      <c r="C25" s="104">
        <f>IF(K25&lt;=0,Overall!$B$89,H24)</f>
        <v>740160.37632089062</v>
      </c>
      <c r="D25" s="22">
        <f t="shared" si="0"/>
        <v>26880</v>
      </c>
      <c r="E25" s="22">
        <f t="shared" si="1"/>
        <v>115389.23626309929</v>
      </c>
      <c r="F25" s="22">
        <f t="shared" si="2"/>
        <v>88509.236263099287</v>
      </c>
      <c r="G25" s="22">
        <f t="shared" si="3"/>
        <v>0</v>
      </c>
      <c r="H25" s="13">
        <f t="shared" si="4"/>
        <v>669487.19985791447</v>
      </c>
      <c r="K25">
        <f t="shared" si="8"/>
        <v>23</v>
      </c>
      <c r="L25">
        <f>A25-Overall!$D$7</f>
        <v>78</v>
      </c>
      <c r="M25" s="80">
        <f>IF(Overall!$B$42&gt;0,Overall!$B$42,MIN(100,(MAX(20,120-B25)))/100)</f>
        <v>0.42</v>
      </c>
      <c r="N25" s="10">
        <f>((1+(Overall!$D$43*M25+Overall!$D$44*(1-M25))) / (1+Overall!$B$45-Overall!$D$45)) -1</f>
        <v>2.409756097561E-2</v>
      </c>
      <c r="O25" s="1">
        <f>POWER(1+Overall!$D$45,$K25+1)</f>
        <v>1</v>
      </c>
      <c r="P25" s="1">
        <f>1/POWER((1+Overall!$B$45-Overall!$D$45),$K25+1)</f>
        <v>0.55287535418551181</v>
      </c>
      <c r="Q25" s="104">
        <f>O25*SUMIFS(Expenses!$D$4:'Expenses'!$D$70,Expenses!$E$4:'Expenses'!$E$70,"&lt;="&amp;A25,Expenses!$F$4:'Expenses'!$F$70,"&gt;"&amp;A25,Expenses!$G$4:'Expenses'!$G$70,"=TRUE")*(1+Overall!$B$98)</f>
        <v>90750.000000000015</v>
      </c>
      <c r="R25" s="104">
        <f>P25*SUMIFS(Expenses!$D$4:'Expenses'!$D$70,Expenses!$E$4:'Expenses'!$E$70,"&lt;="&amp;A25,Expenses!$F$4:'Expenses'!$F$70,"&gt;"&amp;A25,Expenses!$G$4:'Expenses'!$G$70,"=FALSE")</f>
        <v>16586.260625565355</v>
      </c>
      <c r="S25" s="46">
        <f>O25*SUMIFS(Income!$D$2:'Income'!$D$47,Income!$E$2:'Income'!$E$47,"&lt;="&amp;A25,Income!$F$2:'Income'!$F$47,"&gt;"&amp;A25,Income!$G$2:'Income'!$G$47,"=TRUE")</f>
        <v>26880</v>
      </c>
      <c r="T25" s="46">
        <f>P25*SUMIFS(Income!$D$2:'Income'!$D$47,Income!$E$2:'Income'!$E$47,"&lt;="&amp;A25,Income!$F$2:'Income'!$F$47,"&gt;"&amp;A25,Income!$G$2:'Income'!$G$47,"=FALSE")</f>
        <v>0</v>
      </c>
      <c r="U25" s="46">
        <f t="shared" si="5"/>
        <v>107336.26062556537</v>
      </c>
      <c r="V25" s="22">
        <f>MIN( MAX( (Overall!$B$65*AVERAGE(B25,L25)*C25*(1+N25)), MAX(U25-D25,0)), C25*(1+N25)) * Overall!$B$66</f>
        <v>40228.130312782683</v>
      </c>
      <c r="W25" s="22">
        <f t="shared" si="6"/>
        <v>67108.130312782683</v>
      </c>
      <c r="X25" s="78">
        <f>IF(W25&lt;=Overall!$D$59*O25,Overall!$B$58,IF(W25&lt;=Overall!$D$61*O25,Overall!$B$60,Overall!$B$62))</f>
        <v>0.12</v>
      </c>
      <c r="Y25" s="22">
        <f t="shared" si="7"/>
        <v>8052.9756375339221</v>
      </c>
      <c r="Z25" s="10">
        <f t="shared" si="9"/>
        <v>0.11958115983329377</v>
      </c>
    </row>
    <row r="26" spans="1:26" x14ac:dyDescent="0.3">
      <c r="A26">
        <f>Overall!$B$1+K26</f>
        <v>2049</v>
      </c>
      <c r="B26">
        <f>A26-Overall!$B$7</f>
        <v>79</v>
      </c>
      <c r="C26" s="104">
        <f>IF(K26&lt;=0,Overall!$B$89,H25)</f>
        <v>669487.19985791447</v>
      </c>
      <c r="D26" s="22">
        <f t="shared" si="0"/>
        <v>26880</v>
      </c>
      <c r="E26" s="22">
        <f t="shared" si="1"/>
        <v>114960.42074448711</v>
      </c>
      <c r="F26" s="22">
        <f t="shared" si="2"/>
        <v>88080.420744487114</v>
      </c>
      <c r="G26" s="22">
        <f t="shared" si="3"/>
        <v>0</v>
      </c>
      <c r="H26" s="13">
        <f t="shared" si="4"/>
        <v>597311.18234907638</v>
      </c>
      <c r="K26">
        <f t="shared" si="8"/>
        <v>24</v>
      </c>
      <c r="L26">
        <f>A26-Overall!$D$7</f>
        <v>79</v>
      </c>
      <c r="M26" s="80">
        <f>IF(Overall!$B$42&gt;0,Overall!$B$42,MIN(100,(MAX(20,120-B26)))/100)</f>
        <v>0.41</v>
      </c>
      <c r="N26" s="10">
        <f>((1+(Overall!$D$43*M26+Overall!$D$44*(1-M26))) / (1+Overall!$B$45-Overall!$D$45)) -1</f>
        <v>2.3756097560975631E-2</v>
      </c>
      <c r="O26" s="1">
        <f>POWER(1+Overall!$D$45,$K26+1)</f>
        <v>1</v>
      </c>
      <c r="P26" s="1">
        <f>1/POWER((1+Overall!$B$45-Overall!$D$45),$K26+1)</f>
        <v>0.53939058944927987</v>
      </c>
      <c r="Q26" s="104">
        <f>O26*SUMIFS(Expenses!$D$4:'Expenses'!$D$70,Expenses!$E$4:'Expenses'!$E$70,"&lt;="&amp;A26,Expenses!$F$4:'Expenses'!$F$70,"&gt;"&amp;A26,Expenses!$G$4:'Expenses'!$G$70,"=TRUE")*(1+Overall!$B$98)</f>
        <v>90750.000000000015</v>
      </c>
      <c r="R26" s="104">
        <f>P26*SUMIFS(Expenses!$D$4:'Expenses'!$D$70,Expenses!$E$4:'Expenses'!$E$70,"&lt;="&amp;A26,Expenses!$F$4:'Expenses'!$F$70,"&gt;"&amp;A26,Expenses!$G$4:'Expenses'!$G$70,"=FALSE")</f>
        <v>16181.717683478397</v>
      </c>
      <c r="S26" s="46">
        <f>O26*SUMIFS(Income!$D$2:'Income'!$D$47,Income!$E$2:'Income'!$E$47,"&lt;="&amp;A26,Income!$F$2:'Income'!$F$47,"&gt;"&amp;A26,Income!$G$2:'Income'!$G$47,"=TRUE")</f>
        <v>26880</v>
      </c>
      <c r="T26" s="46">
        <f>P26*SUMIFS(Income!$D$2:'Income'!$D$47,Income!$E$2:'Income'!$E$47,"&lt;="&amp;A26,Income!$F$2:'Income'!$F$47,"&gt;"&amp;A26,Income!$G$2:'Income'!$G$47,"=FALSE")</f>
        <v>0</v>
      </c>
      <c r="U26" s="46">
        <f t="shared" si="5"/>
        <v>106931.7176834784</v>
      </c>
      <c r="V26" s="22">
        <f>MIN( MAX( (Overall!$B$65*AVERAGE(B26,L26)*C26*(1+N26)), MAX(U26-D26,0)), C26*(1+N26)) * Overall!$B$66</f>
        <v>40025.858841739202</v>
      </c>
      <c r="W26" s="22">
        <f t="shared" si="6"/>
        <v>66905.858841739202</v>
      </c>
      <c r="X26" s="78">
        <f>IF(W26&lt;=Overall!$D$59*O26,Overall!$B$58,IF(W26&lt;=Overall!$D$61*O26,Overall!$B$60,Overall!$B$62))</f>
        <v>0.12</v>
      </c>
      <c r="Y26" s="22">
        <f t="shared" si="7"/>
        <v>8028.703061008704</v>
      </c>
      <c r="Z26" s="10">
        <f t="shared" si="9"/>
        <v>0.13156401013070967</v>
      </c>
    </row>
    <row r="27" spans="1:26" x14ac:dyDescent="0.3">
      <c r="A27">
        <f>Overall!$B$1+K27</f>
        <v>2050</v>
      </c>
      <c r="B27">
        <f>A27-Overall!$B$7</f>
        <v>80</v>
      </c>
      <c r="C27" s="104">
        <f>IF(K27&lt;=0,Overall!$B$89,H26)</f>
        <v>597311.18234907638</v>
      </c>
      <c r="D27" s="22">
        <f t="shared" si="0"/>
        <v>26880</v>
      </c>
      <c r="E27" s="22">
        <f t="shared" si="1"/>
        <v>114542.06414096305</v>
      </c>
      <c r="F27" s="22">
        <f t="shared" si="2"/>
        <v>87662.064140963048</v>
      </c>
      <c r="G27" s="22">
        <f t="shared" si="3"/>
        <v>0</v>
      </c>
      <c r="H27" s="13">
        <f t="shared" si="4"/>
        <v>523634.94101433561</v>
      </c>
      <c r="K27">
        <f t="shared" si="8"/>
        <v>25</v>
      </c>
      <c r="L27">
        <f>A27-Overall!$D$7</f>
        <v>80</v>
      </c>
      <c r="M27" s="80">
        <f>IF(Overall!$B$42&gt;0,Overall!$B$42,MIN(100,(MAX(20,120-B27)))/100)</f>
        <v>0.4</v>
      </c>
      <c r="N27" s="10">
        <f>((1+(Overall!$D$43*M27+Overall!$D$44*(1-M27))) / (1+Overall!$B$45-Overall!$D$45)) -1</f>
        <v>2.3414634146341484E-2</v>
      </c>
      <c r="O27" s="1">
        <f>POWER(1+Overall!$D$45,$K27+1)</f>
        <v>1</v>
      </c>
      <c r="P27" s="1">
        <f>1/POWER((1+Overall!$B$45-Overall!$D$45),$K27+1)</f>
        <v>0.52623472141393168</v>
      </c>
      <c r="Q27" s="104">
        <f>O27*SUMIFS(Expenses!$D$4:'Expenses'!$D$70,Expenses!$E$4:'Expenses'!$E$70,"&lt;="&amp;A27,Expenses!$F$4:'Expenses'!$F$70,"&gt;"&amp;A27,Expenses!$G$4:'Expenses'!$G$70,"=TRUE")*(1+Overall!$B$98)</f>
        <v>90750.000000000015</v>
      </c>
      <c r="R27" s="104">
        <f>P27*SUMIFS(Expenses!$D$4:'Expenses'!$D$70,Expenses!$E$4:'Expenses'!$E$70,"&lt;="&amp;A27,Expenses!$F$4:'Expenses'!$F$70,"&gt;"&amp;A27,Expenses!$G$4:'Expenses'!$G$70,"=FALSE")</f>
        <v>15787.041642417951</v>
      </c>
      <c r="S27" s="46">
        <f>O27*SUMIFS(Income!$D$2:'Income'!$D$47,Income!$E$2:'Income'!$E$47,"&lt;="&amp;A27,Income!$F$2:'Income'!$F$47,"&gt;"&amp;A27,Income!$G$2:'Income'!$G$47,"=TRUE")</f>
        <v>26880</v>
      </c>
      <c r="T27" s="46">
        <f>P27*SUMIFS(Income!$D$2:'Income'!$D$47,Income!$E$2:'Income'!$E$47,"&lt;="&amp;A27,Income!$F$2:'Income'!$F$47,"&gt;"&amp;A27,Income!$G$2:'Income'!$G$47,"=FALSE")</f>
        <v>0</v>
      </c>
      <c r="U27" s="46">
        <f t="shared" si="5"/>
        <v>106537.04164241797</v>
      </c>
      <c r="V27" s="22">
        <f>MIN( MAX( (Overall!$B$65*AVERAGE(B27,L27)*C27*(1+N27)), MAX(U27-D27,0)), C27*(1+N27)) * Overall!$B$66</f>
        <v>39828.520821208986</v>
      </c>
      <c r="W27" s="22">
        <f t="shared" si="6"/>
        <v>66708.520821208978</v>
      </c>
      <c r="X27" s="78">
        <f>IF(W27&lt;=Overall!$D$59*O27,Overall!$B$58,IF(W27&lt;=Overall!$D$61*O27,Overall!$B$60,Overall!$B$62))</f>
        <v>0.12</v>
      </c>
      <c r="Y27" s="22">
        <f t="shared" si="7"/>
        <v>8005.0224985450768</v>
      </c>
      <c r="Z27" s="10">
        <f t="shared" si="9"/>
        <v>0.1467611300967277</v>
      </c>
    </row>
    <row r="28" spans="1:26" x14ac:dyDescent="0.3">
      <c r="A28">
        <f>Overall!$B$1+K28</f>
        <v>2051</v>
      </c>
      <c r="B28">
        <f>A28-Overall!$B$7</f>
        <v>81</v>
      </c>
      <c r="C28" s="104">
        <f>IF(K28&lt;=0,Overall!$B$89,H27)</f>
        <v>523634.94101433561</v>
      </c>
      <c r="D28" s="22">
        <f t="shared" si="0"/>
        <v>26880</v>
      </c>
      <c r="E28" s="22">
        <f t="shared" si="1"/>
        <v>114133.91135703711</v>
      </c>
      <c r="F28" s="22">
        <f t="shared" si="2"/>
        <v>87253.911357037112</v>
      </c>
      <c r="G28" s="22">
        <f t="shared" si="3"/>
        <v>0</v>
      </c>
      <c r="H28" s="13">
        <f t="shared" si="4"/>
        <v>448462.9480524098</v>
      </c>
      <c r="K28">
        <f t="shared" si="8"/>
        <v>26</v>
      </c>
      <c r="L28">
        <f>A28-Overall!$D$7</f>
        <v>81</v>
      </c>
      <c r="M28" s="80">
        <f>IF(Overall!$B$42&gt;0,Overall!$B$42,MIN(100,(MAX(20,120-B28)))/100)</f>
        <v>0.39</v>
      </c>
      <c r="N28" s="10">
        <f>((1+(Overall!$D$43*M28+Overall!$D$44*(1-M28))) / (1+Overall!$B$45-Overall!$D$45)) -1</f>
        <v>2.307317073170756E-2</v>
      </c>
      <c r="O28" s="1">
        <f>POWER(1+Overall!$D$45,$K28+1)</f>
        <v>1</v>
      </c>
      <c r="P28" s="1">
        <f>1/POWER((1+Overall!$B$45-Overall!$D$45),$K28+1)</f>
        <v>0.51339972820871382</v>
      </c>
      <c r="Q28" s="104">
        <f>O28*SUMIFS(Expenses!$D$4:'Expenses'!$D$70,Expenses!$E$4:'Expenses'!$E$70,"&lt;="&amp;A28,Expenses!$F$4:'Expenses'!$F$70,"&gt;"&amp;A28,Expenses!$G$4:'Expenses'!$G$70,"=TRUE")*(1+Overall!$B$98)</f>
        <v>90750.000000000015</v>
      </c>
      <c r="R28" s="104">
        <f>P28*SUMIFS(Expenses!$D$4:'Expenses'!$D$70,Expenses!$E$4:'Expenses'!$E$70,"&lt;="&amp;A28,Expenses!$F$4:'Expenses'!$F$70,"&gt;"&amp;A28,Expenses!$G$4:'Expenses'!$G$70,"=FALSE")</f>
        <v>15401.991846261415</v>
      </c>
      <c r="S28" s="46">
        <f>O28*SUMIFS(Income!$D$2:'Income'!$D$47,Income!$E$2:'Income'!$E$47,"&lt;="&amp;A28,Income!$F$2:'Income'!$F$47,"&gt;"&amp;A28,Income!$G$2:'Income'!$G$47,"=TRUE")</f>
        <v>26880</v>
      </c>
      <c r="T28" s="46">
        <f>P28*SUMIFS(Income!$D$2:'Income'!$D$47,Income!$E$2:'Income'!$E$47,"&lt;="&amp;A28,Income!$F$2:'Income'!$F$47,"&gt;"&amp;A28,Income!$G$2:'Income'!$G$47,"=FALSE")</f>
        <v>0</v>
      </c>
      <c r="U28" s="46">
        <f t="shared" si="5"/>
        <v>106151.99184626143</v>
      </c>
      <c r="V28" s="22">
        <f>MIN( MAX( (Overall!$B$65*AVERAGE(B28,L28)*C28*(1+N28)), MAX(U28-D28,0)), C28*(1+N28)) * Overall!$B$66</f>
        <v>39635.995923130715</v>
      </c>
      <c r="W28" s="22">
        <f t="shared" si="6"/>
        <v>66515.995923130715</v>
      </c>
      <c r="X28" s="78">
        <f>IF(W28&lt;=Overall!$D$59*O28,Overall!$B$58,IF(W28&lt;=Overall!$D$61*O28,Overall!$B$60,Overall!$B$62))</f>
        <v>0.12</v>
      </c>
      <c r="Y28" s="22">
        <f t="shared" si="7"/>
        <v>7981.9195107756859</v>
      </c>
      <c r="Z28" s="10">
        <f t="shared" si="9"/>
        <v>0.16663118620009804</v>
      </c>
    </row>
    <row r="29" spans="1:26" x14ac:dyDescent="0.3">
      <c r="A29">
        <f>Overall!$B$1+K29</f>
        <v>2052</v>
      </c>
      <c r="B29">
        <f>A29-Overall!$B$7</f>
        <v>82</v>
      </c>
      <c r="C29" s="104">
        <f>IF(K29&lt;=0,Overall!$B$89,H28)</f>
        <v>448462.9480524098</v>
      </c>
      <c r="D29" s="22">
        <f t="shared" si="0"/>
        <v>26880</v>
      </c>
      <c r="E29" s="22">
        <f t="shared" si="1"/>
        <v>113735.71351906061</v>
      </c>
      <c r="F29" s="22">
        <f t="shared" si="2"/>
        <v>86855.713519060606</v>
      </c>
      <c r="G29" s="22">
        <f t="shared" si="3"/>
        <v>0</v>
      </c>
      <c r="H29" s="13">
        <f t="shared" si="4"/>
        <v>371801.56301102834</v>
      </c>
      <c r="K29">
        <f t="shared" si="8"/>
        <v>27</v>
      </c>
      <c r="L29">
        <f>A29-Overall!$D$7</f>
        <v>82</v>
      </c>
      <c r="M29" s="80">
        <f>IF(Overall!$B$42&gt;0,Overall!$B$42,MIN(100,(MAX(20,120-B29)))/100)</f>
        <v>0.38</v>
      </c>
      <c r="N29" s="10">
        <f>((1+(Overall!$D$43*M29+Overall!$D$44*(1-M29))) / (1+Overall!$B$45-Overall!$D$45)) -1</f>
        <v>2.2731707317073191E-2</v>
      </c>
      <c r="O29" s="1">
        <f>POWER(1+Overall!$D$45,$K29+1)</f>
        <v>1</v>
      </c>
      <c r="P29" s="1">
        <f>1/POWER((1+Overall!$B$45-Overall!$D$45),$K29+1)</f>
        <v>0.50087778361825741</v>
      </c>
      <c r="Q29" s="104">
        <f>O29*SUMIFS(Expenses!$D$4:'Expenses'!$D$70,Expenses!$E$4:'Expenses'!$E$70,"&lt;="&amp;A29,Expenses!$F$4:'Expenses'!$F$70,"&gt;"&amp;A29,Expenses!$G$4:'Expenses'!$G$70,"=TRUE")*(1+Overall!$B$98)</f>
        <v>90750.000000000015</v>
      </c>
      <c r="R29" s="104">
        <f>P29*SUMIFS(Expenses!$D$4:'Expenses'!$D$70,Expenses!$E$4:'Expenses'!$E$70,"&lt;="&amp;A29,Expenses!$F$4:'Expenses'!$F$70,"&gt;"&amp;A29,Expenses!$G$4:'Expenses'!$G$70,"=FALSE")</f>
        <v>15026.333508547723</v>
      </c>
      <c r="S29" s="46">
        <f>O29*SUMIFS(Income!$D$2:'Income'!$D$47,Income!$E$2:'Income'!$E$47,"&lt;="&amp;A29,Income!$F$2:'Income'!$F$47,"&gt;"&amp;A29,Income!$G$2:'Income'!$G$47,"=TRUE")</f>
        <v>26880</v>
      </c>
      <c r="T29" s="46">
        <f>P29*SUMIFS(Income!$D$2:'Income'!$D$47,Income!$E$2:'Income'!$E$47,"&lt;="&amp;A29,Income!$F$2:'Income'!$F$47,"&gt;"&amp;A29,Income!$G$2:'Income'!$G$47,"=FALSE")</f>
        <v>0</v>
      </c>
      <c r="U29" s="46">
        <f t="shared" si="5"/>
        <v>105776.33350854774</v>
      </c>
      <c r="V29" s="22">
        <f>MIN( MAX( (Overall!$B$65*AVERAGE(B29,L29)*C29*(1+N29)), MAX(U29-D29,0)), C29*(1+N29)) * Overall!$B$66</f>
        <v>39448.166754273872</v>
      </c>
      <c r="W29" s="22">
        <f t="shared" si="6"/>
        <v>66328.166754273872</v>
      </c>
      <c r="X29" s="78">
        <f>IF(W29&lt;=Overall!$D$59*O29,Overall!$B$58,IF(W29&lt;=Overall!$D$61*O29,Overall!$B$60,Overall!$B$62))</f>
        <v>0.12</v>
      </c>
      <c r="Y29" s="22">
        <f t="shared" si="7"/>
        <v>7959.3800105128648</v>
      </c>
      <c r="Z29" s="10">
        <f t="shared" si="9"/>
        <v>0.1936742241388249</v>
      </c>
    </row>
    <row r="30" spans="1:26" x14ac:dyDescent="0.3">
      <c r="A30">
        <f>Overall!$B$1+K30</f>
        <v>2053</v>
      </c>
      <c r="B30">
        <f>A30-Overall!$B$7</f>
        <v>83</v>
      </c>
      <c r="C30" s="104">
        <f>IF(K30&lt;=0,Overall!$B$89,H29)</f>
        <v>371801.56301102834</v>
      </c>
      <c r="D30" s="22">
        <f t="shared" si="0"/>
        <v>26880</v>
      </c>
      <c r="E30" s="22">
        <f t="shared" si="1"/>
        <v>113347.22782347376</v>
      </c>
      <c r="F30" s="22">
        <f t="shared" si="2"/>
        <v>86467.227823473761</v>
      </c>
      <c r="G30" s="22">
        <f t="shared" si="3"/>
        <v>0</v>
      </c>
      <c r="H30" s="13">
        <f t="shared" si="4"/>
        <v>293659.06286667957</v>
      </c>
      <c r="K30">
        <f t="shared" si="8"/>
        <v>28</v>
      </c>
      <c r="L30">
        <f>A30-Overall!$D$7</f>
        <v>83</v>
      </c>
      <c r="M30" s="80">
        <f>IF(Overall!$B$42&gt;0,Overall!$B$42,MIN(100,(MAX(20,120-B30)))/100)</f>
        <v>0.37</v>
      </c>
      <c r="N30" s="10">
        <f>((1+(Overall!$D$43*M30+Overall!$D$44*(1-M30))) / (1+Overall!$B$45-Overall!$D$45)) -1</f>
        <v>2.2390243902439044E-2</v>
      </c>
      <c r="O30" s="1">
        <f>POWER(1+Overall!$D$45,$K30+1)</f>
        <v>1</v>
      </c>
      <c r="P30" s="1">
        <f>1/POWER((1+Overall!$B$45-Overall!$D$45),$K30+1)</f>
        <v>0.48866125231049495</v>
      </c>
      <c r="Q30" s="104">
        <f>O30*SUMIFS(Expenses!$D$4:'Expenses'!$D$70,Expenses!$E$4:'Expenses'!$E$70,"&lt;="&amp;A30,Expenses!$F$4:'Expenses'!$F$70,"&gt;"&amp;A30,Expenses!$G$4:'Expenses'!$G$70,"=TRUE")*(1+Overall!$B$98)</f>
        <v>90750.000000000015</v>
      </c>
      <c r="R30" s="104">
        <f>P30*SUMIFS(Expenses!$D$4:'Expenses'!$D$70,Expenses!$E$4:'Expenses'!$E$70,"&lt;="&amp;A30,Expenses!$F$4:'Expenses'!$F$70,"&gt;"&amp;A30,Expenses!$G$4:'Expenses'!$G$70,"=FALSE")</f>
        <v>14659.837569314848</v>
      </c>
      <c r="S30" s="46">
        <f>O30*SUMIFS(Income!$D$2:'Income'!$D$47,Income!$E$2:'Income'!$E$47,"&lt;="&amp;A30,Income!$F$2:'Income'!$F$47,"&gt;"&amp;A30,Income!$G$2:'Income'!$G$47,"=TRUE")</f>
        <v>26880</v>
      </c>
      <c r="T30" s="46">
        <f>P30*SUMIFS(Income!$D$2:'Income'!$D$47,Income!$E$2:'Income'!$E$47,"&lt;="&amp;A30,Income!$F$2:'Income'!$F$47,"&gt;"&amp;A30,Income!$G$2:'Income'!$G$47,"=FALSE")</f>
        <v>0</v>
      </c>
      <c r="U30" s="46">
        <f t="shared" si="5"/>
        <v>105409.83756931487</v>
      </c>
      <c r="V30" s="22">
        <f>MIN( MAX( (Overall!$B$65*AVERAGE(B30,L30)*C30*(1+N30)), MAX(U30-D30,0)), C30*(1+N30)) * Overall!$B$66</f>
        <v>39264.918784657435</v>
      </c>
      <c r="W30" s="22">
        <f t="shared" si="6"/>
        <v>66144.918784657435</v>
      </c>
      <c r="X30" s="78">
        <f>IF(W30&lt;=Overall!$D$59*O30,Overall!$B$58,IF(W30&lt;=Overall!$D$61*O30,Overall!$B$60,Overall!$B$62))</f>
        <v>0.12</v>
      </c>
      <c r="Y30" s="22">
        <f t="shared" si="7"/>
        <v>7937.3902541588923</v>
      </c>
      <c r="Z30" s="10">
        <f t="shared" si="9"/>
        <v>0.23256284111131878</v>
      </c>
    </row>
    <row r="31" spans="1:26" x14ac:dyDescent="0.3">
      <c r="A31">
        <f>Overall!$B$1+K31</f>
        <v>2054</v>
      </c>
      <c r="B31">
        <f>A31-Overall!$B$7</f>
        <v>84</v>
      </c>
      <c r="C31" s="104">
        <f>IF(K31&lt;=0,Overall!$B$89,H30)</f>
        <v>293659.06286667957</v>
      </c>
      <c r="D31" s="22">
        <f t="shared" si="0"/>
        <v>26880</v>
      </c>
      <c r="E31" s="22">
        <f t="shared" si="1"/>
        <v>97807.800000000017</v>
      </c>
      <c r="F31" s="22">
        <f t="shared" si="2"/>
        <v>70927.800000000017</v>
      </c>
      <c r="G31" s="22">
        <f t="shared" si="3"/>
        <v>0</v>
      </c>
      <c r="H31" s="13">
        <f t="shared" si="4"/>
        <v>229206.0870820815</v>
      </c>
      <c r="K31">
        <f t="shared" si="8"/>
        <v>29</v>
      </c>
      <c r="L31">
        <f>A31-Overall!$D$7</f>
        <v>84</v>
      </c>
      <c r="M31" s="80">
        <f>IF(Overall!$B$42&gt;0,Overall!$B$42,MIN(100,(MAX(20,120-B31)))/100)</f>
        <v>0.36</v>
      </c>
      <c r="N31" s="10">
        <f>((1+(Overall!$D$43*M31+Overall!$D$44*(1-M31))) / (1+Overall!$B$45-Overall!$D$45)) -1</f>
        <v>2.204878048780512E-2</v>
      </c>
      <c r="O31" s="1">
        <f>POWER(1+Overall!$D$45,$K31+1)</f>
        <v>1</v>
      </c>
      <c r="P31" s="1">
        <f>1/POWER((1+Overall!$B$45-Overall!$D$45),$K31+1)</f>
        <v>0.47674268518097085</v>
      </c>
      <c r="Q31" s="104">
        <f>O31*SUMIFS(Expenses!$D$4:'Expenses'!$D$70,Expenses!$E$4:'Expenses'!$E$70,"&lt;="&amp;A31,Expenses!$F$4:'Expenses'!$F$70,"&gt;"&amp;A31,Expenses!$G$4:'Expenses'!$G$70,"=TRUE")*(1+Overall!$B$98)</f>
        <v>90750.000000000015</v>
      </c>
      <c r="R31" s="104">
        <f>P31*SUMIFS(Expenses!$D$4:'Expenses'!$D$70,Expenses!$E$4:'Expenses'!$E$70,"&lt;="&amp;A31,Expenses!$F$4:'Expenses'!$F$70,"&gt;"&amp;A31,Expenses!$G$4:'Expenses'!$G$70,"=FALSE")</f>
        <v>0</v>
      </c>
      <c r="S31" s="46">
        <f>O31*SUMIFS(Income!$D$2:'Income'!$D$47,Income!$E$2:'Income'!$E$47,"&lt;="&amp;A31,Income!$F$2:'Income'!$F$47,"&gt;"&amp;A31,Income!$G$2:'Income'!$G$47,"=TRUE")</f>
        <v>26880</v>
      </c>
      <c r="T31" s="46">
        <f>P31*SUMIFS(Income!$D$2:'Income'!$D$47,Income!$E$2:'Income'!$E$47,"&lt;="&amp;A31,Income!$F$2:'Income'!$F$47,"&gt;"&amp;A31,Income!$G$2:'Income'!$G$47,"=FALSE")</f>
        <v>0</v>
      </c>
      <c r="U31" s="46">
        <f t="shared" si="5"/>
        <v>90750.000000000015</v>
      </c>
      <c r="V31" s="22">
        <f>MIN( MAX( (Overall!$B$65*AVERAGE(B31,L31)*C31*(1+N31)), MAX(U31-D31,0)), C31*(1+N31)) * Overall!$B$66</f>
        <v>31935.000000000007</v>
      </c>
      <c r="W31" s="22">
        <f t="shared" si="6"/>
        <v>58815.000000000007</v>
      </c>
      <c r="X31" s="78">
        <f>IF(W31&lt;=Overall!$D$59*O31,Overall!$B$58,IF(W31&lt;=Overall!$D$61*O31,Overall!$B$60,Overall!$B$62))</f>
        <v>0.12</v>
      </c>
      <c r="Y31" s="22">
        <f t="shared" si="7"/>
        <v>7057.8</v>
      </c>
      <c r="Z31" s="10">
        <f t="shared" si="9"/>
        <v>0.2415311119895559</v>
      </c>
    </row>
    <row r="32" spans="1:26" x14ac:dyDescent="0.3">
      <c r="A32">
        <f>Overall!$B$1+K32</f>
        <v>2055</v>
      </c>
      <c r="B32">
        <f>A32-Overall!$B$7</f>
        <v>85</v>
      </c>
      <c r="C32" s="104">
        <f>IF(K32&lt;=0,Overall!$B$89,H31)</f>
        <v>229206.0870820815</v>
      </c>
      <c r="D32" s="22">
        <f t="shared" si="0"/>
        <v>26880</v>
      </c>
      <c r="E32" s="22">
        <f t="shared" si="1"/>
        <v>97807.800000000017</v>
      </c>
      <c r="F32" s="22">
        <f t="shared" si="2"/>
        <v>70927.800000000017</v>
      </c>
      <c r="G32" s="22">
        <f t="shared" si="3"/>
        <v>0</v>
      </c>
      <c r="H32" s="13">
        <f t="shared" si="4"/>
        <v>163253.73628947302</v>
      </c>
      <c r="K32">
        <f t="shared" si="8"/>
        <v>30</v>
      </c>
      <c r="L32">
        <f>A32-Overall!$D$7</f>
        <v>85</v>
      </c>
      <c r="M32" s="80">
        <f>IF(Overall!$B$42&gt;0,Overall!$B$42,MIN(100,(MAX(20,120-B32)))/100)</f>
        <v>0.35</v>
      </c>
      <c r="N32" s="10">
        <f>((1+(Overall!$D$43*M32+Overall!$D$44*(1-M32))) / (1+Overall!$B$45-Overall!$D$45)) -1</f>
        <v>2.1707317073170751E-2</v>
      </c>
      <c r="O32" s="1">
        <f>POWER(1+Overall!$D$45,$K32+1)</f>
        <v>1</v>
      </c>
      <c r="P32" s="1">
        <f>1/POWER((1+Overall!$B$45-Overall!$D$45),$K32+1)</f>
        <v>0.4651148148107031</v>
      </c>
      <c r="Q32" s="104">
        <f>O32*SUMIFS(Expenses!$D$4:'Expenses'!$D$70,Expenses!$E$4:'Expenses'!$E$70,"&lt;="&amp;A32,Expenses!$F$4:'Expenses'!$F$70,"&gt;"&amp;A32,Expenses!$G$4:'Expenses'!$G$70,"=TRUE")*(1+Overall!$B$98)</f>
        <v>90750.000000000015</v>
      </c>
      <c r="R32" s="104">
        <f>P32*SUMIFS(Expenses!$D$4:'Expenses'!$D$70,Expenses!$E$4:'Expenses'!$E$70,"&lt;="&amp;A32,Expenses!$F$4:'Expenses'!$F$70,"&gt;"&amp;A32,Expenses!$G$4:'Expenses'!$G$70,"=FALSE")</f>
        <v>0</v>
      </c>
      <c r="S32" s="46">
        <f>O32*SUMIFS(Income!$D$2:'Income'!$D$47,Income!$E$2:'Income'!$E$47,"&lt;="&amp;A32,Income!$F$2:'Income'!$F$47,"&gt;"&amp;A32,Income!$G$2:'Income'!$G$47,"=TRUE")</f>
        <v>26880</v>
      </c>
      <c r="T32" s="46">
        <f>P32*SUMIFS(Income!$D$2:'Income'!$D$47,Income!$E$2:'Income'!$E$47,"&lt;="&amp;A32,Income!$F$2:'Income'!$F$47,"&gt;"&amp;A32,Income!$G$2:'Income'!$G$47,"=FALSE")</f>
        <v>0</v>
      </c>
      <c r="U32" s="46">
        <f t="shared" si="5"/>
        <v>90750.000000000015</v>
      </c>
      <c r="V32" s="22">
        <f>MIN( MAX( (Overall!$B$65*AVERAGE(B32,L32)*C32*(1+N32)), MAX(U32-D32,0)), C32*(1+N32)) * Overall!$B$66</f>
        <v>31935.000000000007</v>
      </c>
      <c r="W32" s="22">
        <f t="shared" si="6"/>
        <v>58815.000000000007</v>
      </c>
      <c r="X32" s="78">
        <f>IF(W32&lt;=Overall!$D$59*O32,Overall!$B$58,IF(W32&lt;=Overall!$D$61*O32,Overall!$B$60,Overall!$B$62))</f>
        <v>0.12</v>
      </c>
      <c r="Y32" s="22">
        <f t="shared" si="7"/>
        <v>7057.8</v>
      </c>
      <c r="Z32" s="10">
        <f t="shared" si="9"/>
        <v>0.30944989682843765</v>
      </c>
    </row>
    <row r="33" spans="1:26" x14ac:dyDescent="0.3">
      <c r="A33">
        <f>Overall!$B$1+K33</f>
        <v>2056</v>
      </c>
      <c r="B33">
        <f>A33-Overall!$B$7</f>
        <v>86</v>
      </c>
      <c r="C33" s="104">
        <f>IF(K33&lt;=0,Overall!$B$89,H32)</f>
        <v>163253.73628947302</v>
      </c>
      <c r="D33" s="22">
        <f t="shared" si="0"/>
        <v>26880</v>
      </c>
      <c r="E33" s="22">
        <f t="shared" si="1"/>
        <v>97807.800000000017</v>
      </c>
      <c r="F33" s="22">
        <f t="shared" si="2"/>
        <v>70927.800000000017</v>
      </c>
      <c r="G33" s="22">
        <f t="shared" si="3"/>
        <v>0</v>
      </c>
      <c r="H33" s="13">
        <f t="shared" si="4"/>
        <v>95813.991728243214</v>
      </c>
      <c r="K33">
        <f t="shared" si="8"/>
        <v>31</v>
      </c>
      <c r="L33">
        <f>A33-Overall!$D$7</f>
        <v>86</v>
      </c>
      <c r="M33" s="80">
        <f>IF(Overall!$B$42&gt;0,Overall!$B$42,MIN(100,(MAX(20,120-B33)))/100)</f>
        <v>0.34</v>
      </c>
      <c r="N33" s="10">
        <f>((1+(Overall!$D$43*M33+Overall!$D$44*(1-M33))) / (1+Overall!$B$45-Overall!$D$45)) -1</f>
        <v>2.1365853658536604E-2</v>
      </c>
      <c r="O33" s="1">
        <f>POWER(1+Overall!$D$45,$K33+1)</f>
        <v>1</v>
      </c>
      <c r="P33" s="1">
        <f>1/POWER((1+Overall!$B$45-Overall!$D$45),$K33+1)</f>
        <v>0.45377055103483238</v>
      </c>
      <c r="Q33" s="104">
        <f>O33*SUMIFS(Expenses!$D$4:'Expenses'!$D$70,Expenses!$E$4:'Expenses'!$E$70,"&lt;="&amp;A33,Expenses!$F$4:'Expenses'!$F$70,"&gt;"&amp;A33,Expenses!$G$4:'Expenses'!$G$70,"=TRUE")*(1+Overall!$B$98)</f>
        <v>90750.000000000015</v>
      </c>
      <c r="R33" s="104">
        <f>P33*SUMIFS(Expenses!$D$4:'Expenses'!$D$70,Expenses!$E$4:'Expenses'!$E$70,"&lt;="&amp;A33,Expenses!$F$4:'Expenses'!$F$70,"&gt;"&amp;A33,Expenses!$G$4:'Expenses'!$G$70,"=FALSE")</f>
        <v>0</v>
      </c>
      <c r="S33" s="46">
        <f>O33*SUMIFS(Income!$D$2:'Income'!$D$47,Income!$E$2:'Income'!$E$47,"&lt;="&amp;A33,Income!$F$2:'Income'!$F$47,"&gt;"&amp;A33,Income!$G$2:'Income'!$G$47,"=TRUE")</f>
        <v>26880</v>
      </c>
      <c r="T33" s="46">
        <f>P33*SUMIFS(Income!$D$2:'Income'!$D$47,Income!$E$2:'Income'!$E$47,"&lt;="&amp;A33,Income!$F$2:'Income'!$F$47,"&gt;"&amp;A33,Income!$G$2:'Income'!$G$47,"=FALSE")</f>
        <v>0</v>
      </c>
      <c r="U33" s="46">
        <f t="shared" si="5"/>
        <v>90750.000000000015</v>
      </c>
      <c r="V33" s="22">
        <f>MIN( MAX( (Overall!$B$65*AVERAGE(B33,L33)*C33*(1+N33)), MAX(U33-D33,0)), C33*(1+N33)) * Overall!$B$66</f>
        <v>31935.000000000007</v>
      </c>
      <c r="W33" s="22">
        <f t="shared" si="6"/>
        <v>58815.000000000007</v>
      </c>
      <c r="X33" s="78">
        <f>IF(W33&lt;=Overall!$D$59*O33,Overall!$B$58,IF(W33&lt;=Overall!$D$61*O33,Overall!$B$60,Overall!$B$62))</f>
        <v>0.12</v>
      </c>
      <c r="Y33" s="22">
        <f t="shared" si="7"/>
        <v>7057.8</v>
      </c>
      <c r="Z33" s="10">
        <f t="shared" si="9"/>
        <v>0.43446356335903114</v>
      </c>
    </row>
    <row r="34" spans="1:26" x14ac:dyDescent="0.3">
      <c r="A34">
        <f>Overall!$B$1+K34</f>
        <v>2057</v>
      </c>
      <c r="B34">
        <f>A34-Overall!$B$7</f>
        <v>87</v>
      </c>
      <c r="C34" s="104">
        <f>IF(K34&lt;=0,Overall!$B$89,H33)</f>
        <v>95813.991728243214</v>
      </c>
      <c r="D34" s="22">
        <f t="shared" ref="D34:D65" si="10">S34+T34</f>
        <v>26880</v>
      </c>
      <c r="E34" s="22">
        <f t="shared" ref="E34:E65" si="11">U34+Y34</f>
        <v>97807.800000000017</v>
      </c>
      <c r="F34" s="22">
        <f t="shared" ref="F34:F65" si="12">IF(E34&lt;D34,0,E34-D34)</f>
        <v>70927.800000000017</v>
      </c>
      <c r="G34" s="22">
        <f t="shared" ref="G34:G65" si="13">IF(E34&lt;D34,D34-E34,0)</f>
        <v>0</v>
      </c>
      <c r="H34" s="13">
        <f t="shared" ref="H34:H65" si="14">MAX(0,C34*(1+N34)+G34-F34)</f>
        <v>26900.622481163839</v>
      </c>
      <c r="K34">
        <f t="shared" si="8"/>
        <v>32</v>
      </c>
      <c r="L34">
        <f>A34-Overall!$D$7</f>
        <v>87</v>
      </c>
      <c r="M34" s="80">
        <f>IF(Overall!$B$42&gt;0,Overall!$B$42,MIN(100,(MAX(20,120-B34)))/100)</f>
        <v>0.33</v>
      </c>
      <c r="N34" s="10">
        <f>((1+(Overall!$D$43*M34+Overall!$D$44*(1-M34))) / (1+Overall!$B$45-Overall!$D$45)) -1</f>
        <v>2.102439024390268E-2</v>
      </c>
      <c r="O34" s="1">
        <f>POWER(1+Overall!$D$45,$K34+1)</f>
        <v>1</v>
      </c>
      <c r="P34" s="1">
        <f>1/POWER((1+Overall!$B$45-Overall!$D$45),$K34+1)</f>
        <v>0.44270297661934871</v>
      </c>
      <c r="Q34" s="104">
        <f>O34*SUMIFS(Expenses!$D$4:'Expenses'!$D$70,Expenses!$E$4:'Expenses'!$E$70,"&lt;="&amp;A34,Expenses!$F$4:'Expenses'!$F$70,"&gt;"&amp;A34,Expenses!$G$4:'Expenses'!$G$70,"=TRUE")*(1+Overall!$B$98)</f>
        <v>90750.000000000015</v>
      </c>
      <c r="R34" s="104">
        <f>P34*SUMIFS(Expenses!$D$4:'Expenses'!$D$70,Expenses!$E$4:'Expenses'!$E$70,"&lt;="&amp;A34,Expenses!$F$4:'Expenses'!$F$70,"&gt;"&amp;A34,Expenses!$G$4:'Expenses'!$G$70,"=FALSE")</f>
        <v>0</v>
      </c>
      <c r="S34" s="46">
        <f>O34*SUMIFS(Income!$D$2:'Income'!$D$47,Income!$E$2:'Income'!$E$47,"&lt;="&amp;A34,Income!$F$2:'Income'!$F$47,"&gt;"&amp;A34,Income!$G$2:'Income'!$G$47,"=TRUE")</f>
        <v>26880</v>
      </c>
      <c r="T34" s="46">
        <f>P34*SUMIFS(Income!$D$2:'Income'!$D$47,Income!$E$2:'Income'!$E$47,"&lt;="&amp;A34,Income!$F$2:'Income'!$F$47,"&gt;"&amp;A34,Income!$G$2:'Income'!$G$47,"=FALSE")</f>
        <v>0</v>
      </c>
      <c r="U34" s="46">
        <f t="shared" ref="U34:U65" si="15">Q34+R34</f>
        <v>90750.000000000015</v>
      </c>
      <c r="V34" s="22">
        <f>MIN( MAX( (Overall!$B$65*AVERAGE(B34,L34)*C34*(1+N34)), MAX(U34-D34,0)), C34*(1+N34)) * Overall!$B$66</f>
        <v>31935.000000000007</v>
      </c>
      <c r="W34" s="22">
        <f t="shared" ref="W34:W65" si="16">D34+V34</f>
        <v>58815.000000000007</v>
      </c>
      <c r="X34" s="78">
        <f>IF(W34&lt;=Overall!$D$59*O34,Overall!$B$58,IF(W34&lt;=Overall!$D$61*O34,Overall!$B$60,Overall!$B$62))</f>
        <v>0.12</v>
      </c>
      <c r="Y34" s="22">
        <f t="shared" ref="Y34:Y65" si="17">W34*X34</f>
        <v>7057.8</v>
      </c>
      <c r="Z34" s="10">
        <f t="shared" si="9"/>
        <v>0.74026557834238038</v>
      </c>
    </row>
    <row r="35" spans="1:26" x14ac:dyDescent="0.3">
      <c r="A35">
        <f>Overall!$B$1+K35</f>
        <v>2058</v>
      </c>
      <c r="B35">
        <f>A35-Overall!$B$7</f>
        <v>88</v>
      </c>
      <c r="C35" s="104">
        <f>IF(K35&lt;=0,Overall!$B$89,H34)</f>
        <v>26900.622481163839</v>
      </c>
      <c r="D35" s="22">
        <f t="shared" si="10"/>
        <v>26880</v>
      </c>
      <c r="E35" s="22">
        <f t="shared" si="11"/>
        <v>95623.02036525622</v>
      </c>
      <c r="F35" s="22">
        <f t="shared" si="12"/>
        <v>68743.02036525622</v>
      </c>
      <c r="G35" s="22">
        <f t="shared" si="13"/>
        <v>0</v>
      </c>
      <c r="H35" s="13">
        <f t="shared" si="14"/>
        <v>0</v>
      </c>
      <c r="K35">
        <f t="shared" si="8"/>
        <v>33</v>
      </c>
      <c r="L35">
        <f>A35-Overall!$D$7</f>
        <v>88</v>
      </c>
      <c r="M35" s="80">
        <f>IF(Overall!$B$42&gt;0,Overall!$B$42,MIN(100,(MAX(20,120-B35)))/100)</f>
        <v>0.32</v>
      </c>
      <c r="N35" s="10">
        <f>((1+(Overall!$D$43*M35+Overall!$D$44*(1-M35))) / (1+Overall!$B$45-Overall!$D$45)) -1</f>
        <v>2.0682926829268311E-2</v>
      </c>
      <c r="O35" s="1">
        <f>POWER(1+Overall!$D$45,$K35+1)</f>
        <v>1</v>
      </c>
      <c r="P35" s="1">
        <f>1/POWER((1+Overall!$B$45-Overall!$D$45),$K35+1)</f>
        <v>0.43190534304326705</v>
      </c>
      <c r="Q35" s="104">
        <f>O35*SUMIFS(Expenses!$D$4:'Expenses'!$D$70,Expenses!$E$4:'Expenses'!$E$70,"&lt;="&amp;A35,Expenses!$F$4:'Expenses'!$F$70,"&gt;"&amp;A35,Expenses!$G$4:'Expenses'!$G$70,"=TRUE")*(1+Overall!$B$98)</f>
        <v>90750.000000000015</v>
      </c>
      <c r="R35" s="104">
        <f>P35*SUMIFS(Expenses!$D$4:'Expenses'!$D$70,Expenses!$E$4:'Expenses'!$E$70,"&lt;="&amp;A35,Expenses!$F$4:'Expenses'!$F$70,"&gt;"&amp;A35,Expenses!$G$4:'Expenses'!$G$70,"=FALSE")</f>
        <v>0</v>
      </c>
      <c r="S35" s="46">
        <f>O35*SUMIFS(Income!$D$2:'Income'!$D$47,Income!$E$2:'Income'!$E$47,"&lt;="&amp;A35,Income!$F$2:'Income'!$F$47,"&gt;"&amp;A35,Income!$G$2:'Income'!$G$47,"=TRUE")</f>
        <v>26880</v>
      </c>
      <c r="T35" s="46">
        <f>P35*SUMIFS(Income!$D$2:'Income'!$D$47,Income!$E$2:'Income'!$E$47,"&lt;="&amp;A35,Income!$F$2:'Income'!$F$47,"&gt;"&amp;A35,Income!$G$2:'Income'!$G$47,"=FALSE")</f>
        <v>0</v>
      </c>
      <c r="U35" s="46">
        <f t="shared" si="15"/>
        <v>90750.000000000015</v>
      </c>
      <c r="V35" s="22">
        <f>MIN( MAX( (Overall!$B$65*AVERAGE(B35,L35)*C35*(1+N35)), MAX(U35-D35,0)), C35*(1+N35)) * Overall!$B$66</f>
        <v>13728.50304380176</v>
      </c>
      <c r="W35" s="22">
        <f t="shared" si="16"/>
        <v>40608.503043801757</v>
      </c>
      <c r="X35" s="78">
        <f>IF(W35&lt;=Overall!$D$59*O35,Overall!$B$58,IF(W35&lt;=Overall!$D$61*O35,Overall!$B$60,Overall!$B$62))</f>
        <v>0.12</v>
      </c>
      <c r="Y35" s="22">
        <f t="shared" si="17"/>
        <v>4873.0203652562104</v>
      </c>
      <c r="Z35" s="10">
        <f t="shared" ref="Z35:Z66" si="18">IF(H34&gt;0,F35/H34,0)</f>
        <v>2.5554434814060887</v>
      </c>
    </row>
    <row r="36" spans="1:26" x14ac:dyDescent="0.3">
      <c r="A36">
        <f>Overall!$B$1+K36</f>
        <v>2059</v>
      </c>
      <c r="B36">
        <f>A36-Overall!$B$7</f>
        <v>89</v>
      </c>
      <c r="C36" s="104">
        <f>IF(K36&lt;=0,Overall!$B$89,H35)</f>
        <v>0</v>
      </c>
      <c r="D36" s="22">
        <f t="shared" si="10"/>
        <v>26880</v>
      </c>
      <c r="E36" s="22">
        <f t="shared" si="11"/>
        <v>93975.60000000002</v>
      </c>
      <c r="F36" s="22">
        <f t="shared" si="12"/>
        <v>67095.60000000002</v>
      </c>
      <c r="G36" s="22">
        <f t="shared" si="13"/>
        <v>0</v>
      </c>
      <c r="H36" s="13">
        <f t="shared" si="14"/>
        <v>0</v>
      </c>
      <c r="K36">
        <f t="shared" si="8"/>
        <v>34</v>
      </c>
      <c r="L36">
        <f>A36-Overall!$D$7</f>
        <v>89</v>
      </c>
      <c r="M36" s="80">
        <f>IF(Overall!$B$42&gt;0,Overall!$B$42,MIN(100,(MAX(20,120-B36)))/100)</f>
        <v>0.31</v>
      </c>
      <c r="N36" s="10">
        <f>((1+(Overall!$D$43*M36+Overall!$D$44*(1-M36))) / (1+Overall!$B$45-Overall!$D$45)) -1</f>
        <v>2.0341463414634164E-2</v>
      </c>
      <c r="O36" s="1">
        <f>POWER(1+Overall!$D$45,$K36+1)</f>
        <v>1</v>
      </c>
      <c r="P36" s="1">
        <f>1/POWER((1+Overall!$B$45-Overall!$D$45),$K36+1)</f>
        <v>0.42137106638367522</v>
      </c>
      <c r="Q36" s="104">
        <f>O36*SUMIFS(Expenses!$D$4:'Expenses'!$D$70,Expenses!$E$4:'Expenses'!$E$70,"&lt;="&amp;A36,Expenses!$F$4:'Expenses'!$F$70,"&gt;"&amp;A36,Expenses!$G$4:'Expenses'!$G$70,"=TRUE")*(1+Overall!$B$98)</f>
        <v>90750.000000000015</v>
      </c>
      <c r="R36" s="104">
        <f>P36*SUMIFS(Expenses!$D$4:'Expenses'!$D$70,Expenses!$E$4:'Expenses'!$E$70,"&lt;="&amp;A36,Expenses!$F$4:'Expenses'!$F$70,"&gt;"&amp;A36,Expenses!$G$4:'Expenses'!$G$70,"=FALSE")</f>
        <v>0</v>
      </c>
      <c r="S36" s="46">
        <f>O36*SUMIFS(Income!$D$2:'Income'!$D$47,Income!$E$2:'Income'!$E$47,"&lt;="&amp;A36,Income!$F$2:'Income'!$F$47,"&gt;"&amp;A36,Income!$G$2:'Income'!$G$47,"=TRUE")</f>
        <v>26880</v>
      </c>
      <c r="T36" s="46">
        <f>P36*SUMIFS(Income!$D$2:'Income'!$D$47,Income!$E$2:'Income'!$E$47,"&lt;="&amp;A36,Income!$F$2:'Income'!$F$47,"&gt;"&amp;A36,Income!$G$2:'Income'!$G$47,"=FALSE")</f>
        <v>0</v>
      </c>
      <c r="U36" s="46">
        <f t="shared" si="15"/>
        <v>90750.000000000015</v>
      </c>
      <c r="V36" s="22">
        <f>MIN( MAX( (Overall!$B$65*AVERAGE(B36,L36)*C36*(1+N36)), MAX(U36-D36,0)), C36*(1+N36)) * Overall!$B$66</f>
        <v>0</v>
      </c>
      <c r="W36" s="22">
        <f t="shared" si="16"/>
        <v>26880</v>
      </c>
      <c r="X36" s="78">
        <f>IF(W36&lt;=Overall!$D$59*O36,Overall!$B$58,IF(W36&lt;=Overall!$D$61*O36,Overall!$B$60,Overall!$B$62))</f>
        <v>0.12</v>
      </c>
      <c r="Y36" s="22">
        <f t="shared" si="17"/>
        <v>3225.6</v>
      </c>
      <c r="Z36" s="10">
        <f t="shared" si="18"/>
        <v>0</v>
      </c>
    </row>
    <row r="37" spans="1:26" x14ac:dyDescent="0.3">
      <c r="A37">
        <f>Overall!$B$1+K37</f>
        <v>2060</v>
      </c>
      <c r="B37">
        <f>A37-Overall!$B$7</f>
        <v>90</v>
      </c>
      <c r="C37" s="104">
        <f>IF(K37&lt;=0,Overall!$B$89,H36)</f>
        <v>0</v>
      </c>
      <c r="D37" s="22">
        <f t="shared" si="10"/>
        <v>26880</v>
      </c>
      <c r="E37" s="22">
        <f t="shared" si="11"/>
        <v>93975.60000000002</v>
      </c>
      <c r="F37" s="22">
        <f t="shared" si="12"/>
        <v>67095.60000000002</v>
      </c>
      <c r="G37" s="22">
        <f t="shared" si="13"/>
        <v>0</v>
      </c>
      <c r="H37" s="13">
        <f t="shared" si="14"/>
        <v>0</v>
      </c>
      <c r="K37">
        <f t="shared" si="8"/>
        <v>35</v>
      </c>
      <c r="L37">
        <f>A37-Overall!$D$7</f>
        <v>90</v>
      </c>
      <c r="M37" s="80">
        <f>IF(Overall!$B$42&gt;0,Overall!$B$42,MIN(100,(MAX(20,120-B37)))/100)</f>
        <v>0.3</v>
      </c>
      <c r="N37" s="10">
        <f>((1+(Overall!$D$43*M37+Overall!$D$44*(1-M37))) / (1+Overall!$B$45-Overall!$D$45)) -1</f>
        <v>2.000000000000024E-2</v>
      </c>
      <c r="O37" s="1">
        <f>POWER(1+Overall!$D$45,$K37+1)</f>
        <v>1</v>
      </c>
      <c r="P37" s="1">
        <f>1/POWER((1+Overall!$B$45-Overall!$D$45),$K37+1)</f>
        <v>0.41109372330114652</v>
      </c>
      <c r="Q37" s="104">
        <f>O37*SUMIFS(Expenses!$D$4:'Expenses'!$D$70,Expenses!$E$4:'Expenses'!$E$70,"&lt;="&amp;A37,Expenses!$F$4:'Expenses'!$F$70,"&gt;"&amp;A37,Expenses!$G$4:'Expenses'!$G$70,"=TRUE")*(1+Overall!$B$98)</f>
        <v>90750.000000000015</v>
      </c>
      <c r="R37" s="104">
        <f>P37*SUMIFS(Expenses!$D$4:'Expenses'!$D$70,Expenses!$E$4:'Expenses'!$E$70,"&lt;="&amp;A37,Expenses!$F$4:'Expenses'!$F$70,"&gt;"&amp;A37,Expenses!$G$4:'Expenses'!$G$70,"=FALSE")</f>
        <v>0</v>
      </c>
      <c r="S37" s="46">
        <f>O37*SUMIFS(Income!$D$2:'Income'!$D$47,Income!$E$2:'Income'!$E$47,"&lt;="&amp;A37,Income!$F$2:'Income'!$F$47,"&gt;"&amp;A37,Income!$G$2:'Income'!$G$47,"=TRUE")</f>
        <v>26880</v>
      </c>
      <c r="T37" s="46">
        <f>P37*SUMIFS(Income!$D$2:'Income'!$D$47,Income!$E$2:'Income'!$E$47,"&lt;="&amp;A37,Income!$F$2:'Income'!$F$47,"&gt;"&amp;A37,Income!$G$2:'Income'!$G$47,"=FALSE")</f>
        <v>0</v>
      </c>
      <c r="U37" s="46">
        <f t="shared" si="15"/>
        <v>90750.000000000015</v>
      </c>
      <c r="V37" s="22">
        <f>MIN( MAX( (Overall!$B$65*AVERAGE(B37,L37)*C37*(1+N37)), MAX(U37-D37,0)), C37*(1+N37)) * Overall!$B$66</f>
        <v>0</v>
      </c>
      <c r="W37" s="22">
        <f t="shared" si="16"/>
        <v>26880</v>
      </c>
      <c r="X37" s="78">
        <f>IF(W37&lt;=Overall!$D$59*O37,Overall!$B$58,IF(W37&lt;=Overall!$D$61*O37,Overall!$B$60,Overall!$B$62))</f>
        <v>0.12</v>
      </c>
      <c r="Y37" s="22">
        <f t="shared" si="17"/>
        <v>3225.6</v>
      </c>
      <c r="Z37" s="10">
        <f t="shared" si="18"/>
        <v>0</v>
      </c>
    </row>
    <row r="38" spans="1:26" x14ac:dyDescent="0.3">
      <c r="A38">
        <f>Overall!$B$1+K38</f>
        <v>2061</v>
      </c>
      <c r="B38">
        <f>A38-Overall!$B$7</f>
        <v>91</v>
      </c>
      <c r="C38" s="104">
        <f>IF(K38&lt;=0,Overall!$B$89,H37)</f>
        <v>0</v>
      </c>
      <c r="D38" s="22">
        <f t="shared" si="10"/>
        <v>26880</v>
      </c>
      <c r="E38" s="22">
        <f t="shared" si="11"/>
        <v>93975.60000000002</v>
      </c>
      <c r="F38" s="22">
        <f t="shared" si="12"/>
        <v>67095.60000000002</v>
      </c>
      <c r="G38" s="22">
        <f t="shared" si="13"/>
        <v>0</v>
      </c>
      <c r="H38" s="13">
        <f t="shared" si="14"/>
        <v>0</v>
      </c>
      <c r="K38">
        <f t="shared" si="8"/>
        <v>36</v>
      </c>
      <c r="L38">
        <f>A38-Overall!$D$7</f>
        <v>91</v>
      </c>
      <c r="M38" s="80">
        <f>IF(Overall!$B$42&gt;0,Overall!$B$42,MIN(100,(MAX(20,120-B38)))/100)</f>
        <v>0.28999999999999998</v>
      </c>
      <c r="N38" s="10">
        <f>((1+(Overall!$D$43*M38+Overall!$D$44*(1-M38))) / (1+Overall!$B$45-Overall!$D$45)) -1</f>
        <v>1.9658536585365871E-2</v>
      </c>
      <c r="O38" s="1">
        <f>POWER(1+Overall!$D$45,$K38+1)</f>
        <v>1</v>
      </c>
      <c r="P38" s="1">
        <f>1/POWER((1+Overall!$B$45-Overall!$D$45),$K38+1)</f>
        <v>0.40106704712306984</v>
      </c>
      <c r="Q38" s="104">
        <f>O38*SUMIFS(Expenses!$D$4:'Expenses'!$D$70,Expenses!$E$4:'Expenses'!$E$70,"&lt;="&amp;A38,Expenses!$F$4:'Expenses'!$F$70,"&gt;"&amp;A38,Expenses!$G$4:'Expenses'!$G$70,"=TRUE")*(1+Overall!$B$98)</f>
        <v>90750.000000000015</v>
      </c>
      <c r="R38" s="104">
        <f>P38*SUMIFS(Expenses!$D$4:'Expenses'!$D$70,Expenses!$E$4:'Expenses'!$E$70,"&lt;="&amp;A38,Expenses!$F$4:'Expenses'!$F$70,"&gt;"&amp;A38,Expenses!$G$4:'Expenses'!$G$70,"=FALSE")</f>
        <v>0</v>
      </c>
      <c r="S38" s="46">
        <f>O38*SUMIFS(Income!$D$2:'Income'!$D$47,Income!$E$2:'Income'!$E$47,"&lt;="&amp;A38,Income!$F$2:'Income'!$F$47,"&gt;"&amp;A38,Income!$G$2:'Income'!$G$47,"=TRUE")</f>
        <v>26880</v>
      </c>
      <c r="T38" s="46">
        <f>P38*SUMIFS(Income!$D$2:'Income'!$D$47,Income!$E$2:'Income'!$E$47,"&lt;="&amp;A38,Income!$F$2:'Income'!$F$47,"&gt;"&amp;A38,Income!$G$2:'Income'!$G$47,"=FALSE")</f>
        <v>0</v>
      </c>
      <c r="U38" s="46">
        <f t="shared" si="15"/>
        <v>90750.000000000015</v>
      </c>
      <c r="V38" s="22">
        <f>MIN( MAX( (Overall!$B$65*AVERAGE(B38,L38)*C38*(1+N38)), MAX(U38-D38,0)), C38*(1+N38)) * Overall!$B$66</f>
        <v>0</v>
      </c>
      <c r="W38" s="22">
        <f t="shared" si="16"/>
        <v>26880</v>
      </c>
      <c r="X38" s="78">
        <f>IF(W38&lt;=Overall!$D$59*O38,Overall!$B$58,IF(W38&lt;=Overall!$D$61*O38,Overall!$B$60,Overall!$B$62))</f>
        <v>0.12</v>
      </c>
      <c r="Y38" s="22">
        <f t="shared" si="17"/>
        <v>3225.6</v>
      </c>
      <c r="Z38" s="10">
        <f t="shared" si="18"/>
        <v>0</v>
      </c>
    </row>
    <row r="39" spans="1:26" x14ac:dyDescent="0.3">
      <c r="A39">
        <f>Overall!$B$1+K39</f>
        <v>2062</v>
      </c>
      <c r="B39">
        <f>A39-Overall!$B$7</f>
        <v>92</v>
      </c>
      <c r="C39" s="104">
        <f>IF(K39&lt;=0,Overall!$B$89,H38)</f>
        <v>0</v>
      </c>
      <c r="D39" s="22">
        <f t="shared" si="10"/>
        <v>26880</v>
      </c>
      <c r="E39" s="22">
        <f t="shared" si="11"/>
        <v>93975.60000000002</v>
      </c>
      <c r="F39" s="22">
        <f t="shared" si="12"/>
        <v>67095.60000000002</v>
      </c>
      <c r="G39" s="22">
        <f t="shared" si="13"/>
        <v>0</v>
      </c>
      <c r="H39" s="13">
        <f t="shared" si="14"/>
        <v>0</v>
      </c>
      <c r="K39">
        <f t="shared" si="8"/>
        <v>37</v>
      </c>
      <c r="L39">
        <f>A39-Overall!$D$7</f>
        <v>92</v>
      </c>
      <c r="M39" s="80">
        <f>IF(Overall!$B$42&gt;0,Overall!$B$42,MIN(100,(MAX(20,120-B39)))/100)</f>
        <v>0.28000000000000003</v>
      </c>
      <c r="N39" s="10">
        <f>((1+(Overall!$D$43*M39+Overall!$D$44*(1-M39))) / (1+Overall!$B$45-Overall!$D$45)) -1</f>
        <v>1.9317073170731724E-2</v>
      </c>
      <c r="O39" s="1">
        <f>POWER(1+Overall!$D$45,$K39+1)</f>
        <v>1</v>
      </c>
      <c r="P39" s="1">
        <f>1/POWER((1+Overall!$B$45-Overall!$D$45),$K39+1)</f>
        <v>0.39128492402250725</v>
      </c>
      <c r="Q39" s="104">
        <f>O39*SUMIFS(Expenses!$D$4:'Expenses'!$D$70,Expenses!$E$4:'Expenses'!$E$70,"&lt;="&amp;A39,Expenses!$F$4:'Expenses'!$F$70,"&gt;"&amp;A39,Expenses!$G$4:'Expenses'!$G$70,"=TRUE")*(1+Overall!$B$98)</f>
        <v>90750.000000000015</v>
      </c>
      <c r="R39" s="104">
        <f>P39*SUMIFS(Expenses!$D$4:'Expenses'!$D$70,Expenses!$E$4:'Expenses'!$E$70,"&lt;="&amp;A39,Expenses!$F$4:'Expenses'!$F$70,"&gt;"&amp;A39,Expenses!$G$4:'Expenses'!$G$70,"=FALSE")</f>
        <v>0</v>
      </c>
      <c r="S39" s="46">
        <f>O39*SUMIFS(Income!$D$2:'Income'!$D$47,Income!$E$2:'Income'!$E$47,"&lt;="&amp;A39,Income!$F$2:'Income'!$F$47,"&gt;"&amp;A39,Income!$G$2:'Income'!$G$47,"=TRUE")</f>
        <v>26880</v>
      </c>
      <c r="T39" s="46">
        <f>P39*SUMIFS(Income!$D$2:'Income'!$D$47,Income!$E$2:'Income'!$E$47,"&lt;="&amp;A39,Income!$F$2:'Income'!$F$47,"&gt;"&amp;A39,Income!$G$2:'Income'!$G$47,"=FALSE")</f>
        <v>0</v>
      </c>
      <c r="U39" s="46">
        <f t="shared" si="15"/>
        <v>90750.000000000015</v>
      </c>
      <c r="V39" s="22">
        <f>MIN( MAX( (Overall!$B$65*AVERAGE(B39,L39)*C39*(1+N39)), MAX(U39-D39,0)), C39*(1+N39)) * Overall!$B$66</f>
        <v>0</v>
      </c>
      <c r="W39" s="22">
        <f t="shared" si="16"/>
        <v>26880</v>
      </c>
      <c r="X39" s="78">
        <f>IF(W39&lt;=Overall!$D$59*O39,Overall!$B$58,IF(W39&lt;=Overall!$D$61*O39,Overall!$B$60,Overall!$B$62))</f>
        <v>0.12</v>
      </c>
      <c r="Y39" s="22">
        <f t="shared" si="17"/>
        <v>3225.6</v>
      </c>
      <c r="Z39" s="10">
        <f t="shared" si="18"/>
        <v>0</v>
      </c>
    </row>
    <row r="40" spans="1:26" x14ac:dyDescent="0.3">
      <c r="A40">
        <f>Overall!$B$1+K40</f>
        <v>2063</v>
      </c>
      <c r="B40">
        <f>A40-Overall!$B$7</f>
        <v>93</v>
      </c>
      <c r="C40" s="104">
        <f>IF(K40&lt;=0,Overall!$B$89,H39)</f>
        <v>0</v>
      </c>
      <c r="D40" s="22">
        <f t="shared" si="10"/>
        <v>26880</v>
      </c>
      <c r="E40" s="22">
        <f t="shared" si="11"/>
        <v>93975.60000000002</v>
      </c>
      <c r="F40" s="22">
        <f t="shared" si="12"/>
        <v>67095.60000000002</v>
      </c>
      <c r="G40" s="22">
        <f t="shared" si="13"/>
        <v>0</v>
      </c>
      <c r="H40" s="13">
        <f t="shared" si="14"/>
        <v>0</v>
      </c>
      <c r="K40">
        <f t="shared" si="8"/>
        <v>38</v>
      </c>
      <c r="L40">
        <f>A40-Overall!$D$7</f>
        <v>93</v>
      </c>
      <c r="M40" s="80">
        <f>IF(Overall!$B$42&gt;0,Overall!$B$42,MIN(100,(MAX(20,120-B40)))/100)</f>
        <v>0.27</v>
      </c>
      <c r="N40" s="10">
        <f>((1+(Overall!$D$43*M40+Overall!$D$44*(1-M40))) / (1+Overall!$B$45-Overall!$D$45)) -1</f>
        <v>1.89756097560978E-2</v>
      </c>
      <c r="O40" s="1">
        <f>POWER(1+Overall!$D$45,$K40+1)</f>
        <v>1</v>
      </c>
      <c r="P40" s="1">
        <f>1/POWER((1+Overall!$B$45-Overall!$D$45),$K40+1)</f>
        <v>0.38174138929025092</v>
      </c>
      <c r="Q40" s="104">
        <f>O40*SUMIFS(Expenses!$D$4:'Expenses'!$D$70,Expenses!$E$4:'Expenses'!$E$70,"&lt;="&amp;A40,Expenses!$F$4:'Expenses'!$F$70,"&gt;"&amp;A40,Expenses!$G$4:'Expenses'!$G$70,"=TRUE")*(1+Overall!$B$98)</f>
        <v>90750.000000000015</v>
      </c>
      <c r="R40" s="104">
        <f>P40*SUMIFS(Expenses!$D$4:'Expenses'!$D$70,Expenses!$E$4:'Expenses'!$E$70,"&lt;="&amp;A40,Expenses!$F$4:'Expenses'!$F$70,"&gt;"&amp;A40,Expenses!$G$4:'Expenses'!$G$70,"=FALSE")</f>
        <v>0</v>
      </c>
      <c r="S40" s="46">
        <f>O40*SUMIFS(Income!$D$2:'Income'!$D$47,Income!$E$2:'Income'!$E$47,"&lt;="&amp;A40,Income!$F$2:'Income'!$F$47,"&gt;"&amp;A40,Income!$G$2:'Income'!$G$47,"=TRUE")</f>
        <v>26880</v>
      </c>
      <c r="T40" s="46">
        <f>P40*SUMIFS(Income!$D$2:'Income'!$D$47,Income!$E$2:'Income'!$E$47,"&lt;="&amp;A40,Income!$F$2:'Income'!$F$47,"&gt;"&amp;A40,Income!$G$2:'Income'!$G$47,"=FALSE")</f>
        <v>0</v>
      </c>
      <c r="U40" s="46">
        <f t="shared" si="15"/>
        <v>90750.000000000015</v>
      </c>
      <c r="V40" s="22">
        <f>MIN( MAX( (Overall!$B$65*AVERAGE(B40,L40)*C40*(1+N40)), MAX(U40-D40,0)), C40*(1+N40)) * Overall!$B$66</f>
        <v>0</v>
      </c>
      <c r="W40" s="22">
        <f t="shared" si="16"/>
        <v>26880</v>
      </c>
      <c r="X40" s="78">
        <f>IF(W40&lt;=Overall!$D$59*O40,Overall!$B$58,IF(W40&lt;=Overall!$D$61*O40,Overall!$B$60,Overall!$B$62))</f>
        <v>0.12</v>
      </c>
      <c r="Y40" s="22">
        <f t="shared" si="17"/>
        <v>3225.6</v>
      </c>
      <c r="Z40" s="10">
        <f t="shared" si="18"/>
        <v>0</v>
      </c>
    </row>
    <row r="41" spans="1:26" x14ac:dyDescent="0.3">
      <c r="A41">
        <f>Overall!$B$1+K41</f>
        <v>2064</v>
      </c>
      <c r="B41">
        <f>A41-Overall!$B$7</f>
        <v>94</v>
      </c>
      <c r="C41" s="104">
        <f>IF(K41&lt;=0,Overall!$B$89,H40)</f>
        <v>0</v>
      </c>
      <c r="D41" s="22">
        <f t="shared" si="10"/>
        <v>26880</v>
      </c>
      <c r="E41" s="22">
        <f t="shared" si="11"/>
        <v>93975.60000000002</v>
      </c>
      <c r="F41" s="22">
        <f t="shared" si="12"/>
        <v>67095.60000000002</v>
      </c>
      <c r="G41" s="22">
        <f t="shared" si="13"/>
        <v>0</v>
      </c>
      <c r="H41" s="13">
        <f t="shared" si="14"/>
        <v>0</v>
      </c>
      <c r="K41">
        <f t="shared" si="8"/>
        <v>39</v>
      </c>
      <c r="L41">
        <f>A41-Overall!$D$7</f>
        <v>94</v>
      </c>
      <c r="M41" s="80">
        <f>IF(Overall!$B$42&gt;0,Overall!$B$42,MIN(100,(MAX(20,120-B41)))/100)</f>
        <v>0.26</v>
      </c>
      <c r="N41" s="10">
        <f>((1+(Overall!$D$43*M41+Overall!$D$44*(1-M41))) / (1+Overall!$B$45-Overall!$D$45)) -1</f>
        <v>1.8634146341463431E-2</v>
      </c>
      <c r="O41" s="1">
        <f>POWER(1+Overall!$D$45,$K41+1)</f>
        <v>1</v>
      </c>
      <c r="P41" s="1">
        <f>1/POWER((1+Overall!$B$45-Overall!$D$45),$K41+1)</f>
        <v>0.37243062369780583</v>
      </c>
      <c r="Q41" s="104">
        <f>O41*SUMIFS(Expenses!$D$4:'Expenses'!$D$70,Expenses!$E$4:'Expenses'!$E$70,"&lt;="&amp;A41,Expenses!$F$4:'Expenses'!$F$70,"&gt;"&amp;A41,Expenses!$G$4:'Expenses'!$G$70,"=TRUE")*(1+Overall!$B$98)</f>
        <v>90750.000000000015</v>
      </c>
      <c r="R41" s="104">
        <f>P41*SUMIFS(Expenses!$D$4:'Expenses'!$D$70,Expenses!$E$4:'Expenses'!$E$70,"&lt;="&amp;A41,Expenses!$F$4:'Expenses'!$F$70,"&gt;"&amp;A41,Expenses!$G$4:'Expenses'!$G$70,"=FALSE")</f>
        <v>0</v>
      </c>
      <c r="S41" s="46">
        <f>O41*SUMIFS(Income!$D$2:'Income'!$D$47,Income!$E$2:'Income'!$E$47,"&lt;="&amp;A41,Income!$F$2:'Income'!$F$47,"&gt;"&amp;A41,Income!$G$2:'Income'!$G$47,"=TRUE")</f>
        <v>26880</v>
      </c>
      <c r="T41" s="46">
        <f>P41*SUMIFS(Income!$D$2:'Income'!$D$47,Income!$E$2:'Income'!$E$47,"&lt;="&amp;A41,Income!$F$2:'Income'!$F$47,"&gt;"&amp;A41,Income!$G$2:'Income'!$G$47,"=FALSE")</f>
        <v>0</v>
      </c>
      <c r="U41" s="46">
        <f t="shared" si="15"/>
        <v>90750.000000000015</v>
      </c>
      <c r="V41" s="22">
        <f>MIN( MAX( (Overall!$B$65*AVERAGE(B41,L41)*C41*(1+N41)), MAX(U41-D41,0)), C41*(1+N41)) * Overall!$B$66</f>
        <v>0</v>
      </c>
      <c r="W41" s="22">
        <f t="shared" si="16"/>
        <v>26880</v>
      </c>
      <c r="X41" s="78">
        <f>IF(W41&lt;=Overall!$D$59*O41,Overall!$B$58,IF(W41&lt;=Overall!$D$61*O41,Overall!$B$60,Overall!$B$62))</f>
        <v>0.12</v>
      </c>
      <c r="Y41" s="22">
        <f t="shared" si="17"/>
        <v>3225.6</v>
      </c>
      <c r="Z41" s="10">
        <f t="shared" si="18"/>
        <v>0</v>
      </c>
    </row>
    <row r="42" spans="1:26" x14ac:dyDescent="0.3">
      <c r="A42">
        <f>Overall!$B$1+K42</f>
        <v>2065</v>
      </c>
      <c r="B42">
        <f>A42-Overall!$B$7</f>
        <v>95</v>
      </c>
      <c r="C42" s="104">
        <f>IF(K42&lt;=0,Overall!$B$89,H41)</f>
        <v>0</v>
      </c>
      <c r="D42" s="22">
        <f t="shared" si="10"/>
        <v>26880</v>
      </c>
      <c r="E42" s="22">
        <f t="shared" si="11"/>
        <v>93975.60000000002</v>
      </c>
      <c r="F42" s="22">
        <f t="shared" si="12"/>
        <v>67095.60000000002</v>
      </c>
      <c r="G42" s="22">
        <f t="shared" si="13"/>
        <v>0</v>
      </c>
      <c r="H42" s="13">
        <f t="shared" si="14"/>
        <v>0</v>
      </c>
      <c r="K42">
        <f t="shared" si="8"/>
        <v>40</v>
      </c>
      <c r="L42">
        <f>A42-Overall!$D$7</f>
        <v>95</v>
      </c>
      <c r="M42" s="80">
        <f>IF(Overall!$B$42&gt;0,Overall!$B$42,MIN(100,(MAX(20,120-B42)))/100)</f>
        <v>0.25</v>
      </c>
      <c r="N42" s="10">
        <f>((1+(Overall!$D$43*M42+Overall!$D$44*(1-M42))) / (1+Overall!$B$45-Overall!$D$45)) -1</f>
        <v>1.8292682926829285E-2</v>
      </c>
      <c r="O42" s="1">
        <f>POWER(1+Overall!$D$45,$K42+1)</f>
        <v>1</v>
      </c>
      <c r="P42" s="1">
        <f>1/POWER((1+Overall!$B$45-Overall!$D$45),$K42+1)</f>
        <v>0.36334694994907885</v>
      </c>
      <c r="Q42" s="104">
        <f>O42*SUMIFS(Expenses!$D$4:'Expenses'!$D$70,Expenses!$E$4:'Expenses'!$E$70,"&lt;="&amp;A42,Expenses!$F$4:'Expenses'!$F$70,"&gt;"&amp;A42,Expenses!$G$4:'Expenses'!$G$70,"=TRUE")*(1+Overall!$B$98)</f>
        <v>90750.000000000015</v>
      </c>
      <c r="R42" s="104">
        <f>P42*SUMIFS(Expenses!$D$4:'Expenses'!$D$70,Expenses!$E$4:'Expenses'!$E$70,"&lt;="&amp;A42,Expenses!$F$4:'Expenses'!$F$70,"&gt;"&amp;A42,Expenses!$G$4:'Expenses'!$G$70,"=FALSE")</f>
        <v>0</v>
      </c>
      <c r="S42" s="46">
        <f>O42*SUMIFS(Income!$D$2:'Income'!$D$47,Income!$E$2:'Income'!$E$47,"&lt;="&amp;A42,Income!$F$2:'Income'!$F$47,"&gt;"&amp;A42,Income!$G$2:'Income'!$G$47,"=TRUE")</f>
        <v>26880</v>
      </c>
      <c r="T42" s="46">
        <f>P42*SUMIFS(Income!$D$2:'Income'!$D$47,Income!$E$2:'Income'!$E$47,"&lt;="&amp;A42,Income!$F$2:'Income'!$F$47,"&gt;"&amp;A42,Income!$G$2:'Income'!$G$47,"=FALSE")</f>
        <v>0</v>
      </c>
      <c r="U42" s="46">
        <f t="shared" si="15"/>
        <v>90750.000000000015</v>
      </c>
      <c r="V42" s="22">
        <f>MIN( MAX( (Overall!$B$65*AVERAGE(B42,L42)*C42*(1+N42)), MAX(U42-D42,0)), C42*(1+N42)) * Overall!$B$66</f>
        <v>0</v>
      </c>
      <c r="W42" s="22">
        <f t="shared" si="16"/>
        <v>26880</v>
      </c>
      <c r="X42" s="78">
        <f>IF(W42&lt;=Overall!$D$59*O42,Overall!$B$58,IF(W42&lt;=Overall!$D$61*O42,Overall!$B$60,Overall!$B$62))</f>
        <v>0.12</v>
      </c>
      <c r="Y42" s="22">
        <f t="shared" si="17"/>
        <v>3225.6</v>
      </c>
      <c r="Z42" s="10">
        <f t="shared" si="18"/>
        <v>0</v>
      </c>
    </row>
    <row r="43" spans="1:26" x14ac:dyDescent="0.3">
      <c r="A43">
        <f>Overall!$B$1+K43</f>
        <v>2066</v>
      </c>
      <c r="B43">
        <f>A43-Overall!$B$7</f>
        <v>96</v>
      </c>
      <c r="C43" s="104">
        <f>IF(K43&lt;=0,Overall!$B$89,H42)</f>
        <v>0</v>
      </c>
      <c r="D43" s="22">
        <f t="shared" si="10"/>
        <v>26880</v>
      </c>
      <c r="E43" s="22">
        <f t="shared" si="11"/>
        <v>93975.60000000002</v>
      </c>
      <c r="F43" s="22">
        <f t="shared" si="12"/>
        <v>67095.60000000002</v>
      </c>
      <c r="G43" s="22">
        <f t="shared" si="13"/>
        <v>0</v>
      </c>
      <c r="H43" s="13">
        <f t="shared" si="14"/>
        <v>0</v>
      </c>
      <c r="K43">
        <f t="shared" si="8"/>
        <v>41</v>
      </c>
      <c r="L43">
        <f>A43-Overall!$D$7</f>
        <v>96</v>
      </c>
      <c r="M43" s="80">
        <f>IF(Overall!$B$42&gt;0,Overall!$B$42,MIN(100,(MAX(20,120-B43)))/100)</f>
        <v>0.24</v>
      </c>
      <c r="N43" s="10">
        <f>((1+(Overall!$D$43*M43+Overall!$D$44*(1-M43))) / (1+Overall!$B$45-Overall!$D$45)) -1</f>
        <v>1.795121951219536E-2</v>
      </c>
      <c r="O43" s="1">
        <f>POWER(1+Overall!$D$45,$K43+1)</f>
        <v>1</v>
      </c>
      <c r="P43" s="1">
        <f>1/POWER((1+Overall!$B$45-Overall!$D$45),$K43+1)</f>
        <v>0.35448482921861352</v>
      </c>
      <c r="Q43" s="104">
        <f>O43*SUMIFS(Expenses!$D$4:'Expenses'!$D$70,Expenses!$E$4:'Expenses'!$E$70,"&lt;="&amp;A43,Expenses!$F$4:'Expenses'!$F$70,"&gt;"&amp;A43,Expenses!$G$4:'Expenses'!$G$70,"=TRUE")*(1+Overall!$B$98)</f>
        <v>90750.000000000015</v>
      </c>
      <c r="R43" s="104">
        <f>P43*SUMIFS(Expenses!$D$4:'Expenses'!$D$70,Expenses!$E$4:'Expenses'!$E$70,"&lt;="&amp;A43,Expenses!$F$4:'Expenses'!$F$70,"&gt;"&amp;A43,Expenses!$G$4:'Expenses'!$G$70,"=FALSE")</f>
        <v>0</v>
      </c>
      <c r="S43" s="46">
        <f>O43*SUMIFS(Income!$D$2:'Income'!$D$47,Income!$E$2:'Income'!$E$47,"&lt;="&amp;A43,Income!$F$2:'Income'!$F$47,"&gt;"&amp;A43,Income!$G$2:'Income'!$G$47,"=TRUE")</f>
        <v>26880</v>
      </c>
      <c r="T43" s="46">
        <f>P43*SUMIFS(Income!$D$2:'Income'!$D$47,Income!$E$2:'Income'!$E$47,"&lt;="&amp;A43,Income!$F$2:'Income'!$F$47,"&gt;"&amp;A43,Income!$G$2:'Income'!$G$47,"=FALSE")</f>
        <v>0</v>
      </c>
      <c r="U43" s="46">
        <f t="shared" si="15"/>
        <v>90750.000000000015</v>
      </c>
      <c r="V43" s="22">
        <f>MIN( MAX( (Overall!$B$65*AVERAGE(B43,L43)*C43*(1+N43)), MAX(U43-D43,0)), C43*(1+N43)) * Overall!$B$66</f>
        <v>0</v>
      </c>
      <c r="W43" s="22">
        <f t="shared" si="16"/>
        <v>26880</v>
      </c>
      <c r="X43" s="78">
        <f>IF(W43&lt;=Overall!$D$59*O43,Overall!$B$58,IF(W43&lt;=Overall!$D$61*O43,Overall!$B$60,Overall!$B$62))</f>
        <v>0.12</v>
      </c>
      <c r="Y43" s="22">
        <f t="shared" si="17"/>
        <v>3225.6</v>
      </c>
      <c r="Z43" s="10">
        <f t="shared" si="18"/>
        <v>0</v>
      </c>
    </row>
    <row r="44" spans="1:26" x14ac:dyDescent="0.3">
      <c r="A44">
        <f>Overall!$B$1+K44</f>
        <v>2067</v>
      </c>
      <c r="B44">
        <f>A44-Overall!$B$7</f>
        <v>97</v>
      </c>
      <c r="C44" s="104">
        <f>IF(K44&lt;=0,Overall!$B$89,H43)</f>
        <v>0</v>
      </c>
      <c r="D44" s="22">
        <f t="shared" si="10"/>
        <v>26880</v>
      </c>
      <c r="E44" s="22">
        <f t="shared" si="11"/>
        <v>93975.60000000002</v>
      </c>
      <c r="F44" s="22">
        <f t="shared" si="12"/>
        <v>67095.60000000002</v>
      </c>
      <c r="G44" s="22">
        <f t="shared" si="13"/>
        <v>0</v>
      </c>
      <c r="H44" s="13">
        <f t="shared" si="14"/>
        <v>0</v>
      </c>
      <c r="K44">
        <f t="shared" si="8"/>
        <v>42</v>
      </c>
      <c r="L44">
        <f>A44-Overall!$D$7</f>
        <v>97</v>
      </c>
      <c r="M44" s="80">
        <f>IF(Overall!$B$42&gt;0,Overall!$B$42,MIN(100,(MAX(20,120-B44)))/100)</f>
        <v>0.23</v>
      </c>
      <c r="N44" s="10">
        <f>((1+(Overall!$D$43*M44+Overall!$D$44*(1-M44))) / (1+Overall!$B$45-Overall!$D$45)) -1</f>
        <v>1.7609756097560991E-2</v>
      </c>
      <c r="O44" s="1">
        <f>POWER(1+Overall!$D$45,$K44+1)</f>
        <v>1</v>
      </c>
      <c r="P44" s="1">
        <f>1/POWER((1+Overall!$B$45-Overall!$D$45),$K44+1)</f>
        <v>0.3458388577742571</v>
      </c>
      <c r="Q44" s="104">
        <f>O44*SUMIFS(Expenses!$D$4:'Expenses'!$D$70,Expenses!$E$4:'Expenses'!$E$70,"&lt;="&amp;A44,Expenses!$F$4:'Expenses'!$F$70,"&gt;"&amp;A44,Expenses!$G$4:'Expenses'!$G$70,"=TRUE")*(1+Overall!$B$98)</f>
        <v>90750.000000000015</v>
      </c>
      <c r="R44" s="104">
        <f>P44*SUMIFS(Expenses!$D$4:'Expenses'!$D$70,Expenses!$E$4:'Expenses'!$E$70,"&lt;="&amp;A44,Expenses!$F$4:'Expenses'!$F$70,"&gt;"&amp;A44,Expenses!$G$4:'Expenses'!$G$70,"=FALSE")</f>
        <v>0</v>
      </c>
      <c r="S44" s="46">
        <f>O44*SUMIFS(Income!$D$2:'Income'!$D$47,Income!$E$2:'Income'!$E$47,"&lt;="&amp;A44,Income!$F$2:'Income'!$F$47,"&gt;"&amp;A44,Income!$G$2:'Income'!$G$47,"=TRUE")</f>
        <v>26880</v>
      </c>
      <c r="T44" s="46">
        <f>P44*SUMIFS(Income!$D$2:'Income'!$D$47,Income!$E$2:'Income'!$E$47,"&lt;="&amp;A44,Income!$F$2:'Income'!$F$47,"&gt;"&amp;A44,Income!$G$2:'Income'!$G$47,"=FALSE")</f>
        <v>0</v>
      </c>
      <c r="U44" s="46">
        <f t="shared" si="15"/>
        <v>90750.000000000015</v>
      </c>
      <c r="V44" s="22">
        <f>MIN( MAX( (Overall!$B$65*AVERAGE(B44,L44)*C44*(1+N44)), MAX(U44-D44,0)), C44*(1+N44)) * Overall!$B$66</f>
        <v>0</v>
      </c>
      <c r="W44" s="22">
        <f t="shared" si="16"/>
        <v>26880</v>
      </c>
      <c r="X44" s="78">
        <f>IF(W44&lt;=Overall!$D$59*O44,Overall!$B$58,IF(W44&lt;=Overall!$D$61*O44,Overall!$B$60,Overall!$B$62))</f>
        <v>0.12</v>
      </c>
      <c r="Y44" s="22">
        <f t="shared" si="17"/>
        <v>3225.6</v>
      </c>
      <c r="Z44" s="10">
        <f t="shared" si="18"/>
        <v>0</v>
      </c>
    </row>
    <row r="45" spans="1:26" x14ac:dyDescent="0.3">
      <c r="A45">
        <f>Overall!$B$1+K45</f>
        <v>2068</v>
      </c>
      <c r="B45">
        <f>A45-Overall!$B$7</f>
        <v>98</v>
      </c>
      <c r="C45" s="104">
        <f>IF(K45&lt;=0,Overall!$B$89,H44)</f>
        <v>0</v>
      </c>
      <c r="D45" s="22">
        <f t="shared" si="10"/>
        <v>26880</v>
      </c>
      <c r="E45" s="22">
        <f t="shared" si="11"/>
        <v>93975.60000000002</v>
      </c>
      <c r="F45" s="22">
        <f t="shared" si="12"/>
        <v>67095.60000000002</v>
      </c>
      <c r="G45" s="22">
        <f t="shared" si="13"/>
        <v>0</v>
      </c>
      <c r="H45" s="13">
        <f t="shared" si="14"/>
        <v>0</v>
      </c>
      <c r="K45">
        <f t="shared" si="8"/>
        <v>43</v>
      </c>
      <c r="L45">
        <f>A45-Overall!$D$7</f>
        <v>98</v>
      </c>
      <c r="M45" s="80">
        <f>IF(Overall!$B$42&gt;0,Overall!$B$42,MIN(100,(MAX(20,120-B45)))/100)</f>
        <v>0.22</v>
      </c>
      <c r="N45" s="10">
        <f>((1+(Overall!$D$43*M45+Overall!$D$44*(1-M45))) / (1+Overall!$B$45-Overall!$D$45)) -1</f>
        <v>1.7268292682926845E-2</v>
      </c>
      <c r="O45" s="1">
        <f>POWER(1+Overall!$D$45,$K45+1)</f>
        <v>1</v>
      </c>
      <c r="P45" s="1">
        <f>1/POWER((1+Overall!$B$45-Overall!$D$45),$K45+1)</f>
        <v>0.33740376368220215</v>
      </c>
      <c r="Q45" s="104">
        <f>O45*SUMIFS(Expenses!$D$4:'Expenses'!$D$70,Expenses!$E$4:'Expenses'!$E$70,"&lt;="&amp;A45,Expenses!$F$4:'Expenses'!$F$70,"&gt;"&amp;A45,Expenses!$G$4:'Expenses'!$G$70,"=TRUE")*(1+Overall!$B$98)</f>
        <v>90750.000000000015</v>
      </c>
      <c r="R45" s="104">
        <f>P45*SUMIFS(Expenses!$D$4:'Expenses'!$D$70,Expenses!$E$4:'Expenses'!$E$70,"&lt;="&amp;A45,Expenses!$F$4:'Expenses'!$F$70,"&gt;"&amp;A45,Expenses!$G$4:'Expenses'!$G$70,"=FALSE")</f>
        <v>0</v>
      </c>
      <c r="S45" s="46">
        <f>O45*SUMIFS(Income!$D$2:'Income'!$D$47,Income!$E$2:'Income'!$E$47,"&lt;="&amp;A45,Income!$F$2:'Income'!$F$47,"&gt;"&amp;A45,Income!$G$2:'Income'!$G$47,"=TRUE")</f>
        <v>26880</v>
      </c>
      <c r="T45" s="46">
        <f>P45*SUMIFS(Income!$D$2:'Income'!$D$47,Income!$E$2:'Income'!$E$47,"&lt;="&amp;A45,Income!$F$2:'Income'!$F$47,"&gt;"&amp;A45,Income!$G$2:'Income'!$G$47,"=FALSE")</f>
        <v>0</v>
      </c>
      <c r="U45" s="46">
        <f t="shared" si="15"/>
        <v>90750.000000000015</v>
      </c>
      <c r="V45" s="22">
        <f>MIN( MAX( (Overall!$B$65*AVERAGE(B45,L45)*C45*(1+N45)), MAX(U45-D45,0)), C45*(1+N45)) * Overall!$B$66</f>
        <v>0</v>
      </c>
      <c r="W45" s="22">
        <f t="shared" si="16"/>
        <v>26880</v>
      </c>
      <c r="X45" s="78">
        <f>IF(W45&lt;=Overall!$D$59*O45,Overall!$B$58,IF(W45&lt;=Overall!$D$61*O45,Overall!$B$60,Overall!$B$62))</f>
        <v>0.12</v>
      </c>
      <c r="Y45" s="22">
        <f t="shared" si="17"/>
        <v>3225.6</v>
      </c>
      <c r="Z45" s="10">
        <f t="shared" si="18"/>
        <v>0</v>
      </c>
    </row>
    <row r="46" spans="1:26" x14ac:dyDescent="0.3">
      <c r="A46">
        <f>Overall!$B$1+K46</f>
        <v>2069</v>
      </c>
      <c r="B46">
        <f>A46-Overall!$B$7</f>
        <v>99</v>
      </c>
      <c r="C46" s="104">
        <f>IF(K46&lt;=0,Overall!$B$89,H45)</f>
        <v>0</v>
      </c>
      <c r="D46" s="22">
        <f t="shared" si="10"/>
        <v>26880</v>
      </c>
      <c r="E46" s="22">
        <f t="shared" si="11"/>
        <v>93975.60000000002</v>
      </c>
      <c r="F46" s="22">
        <f t="shared" si="12"/>
        <v>67095.60000000002</v>
      </c>
      <c r="G46" s="22">
        <f t="shared" si="13"/>
        <v>0</v>
      </c>
      <c r="H46" s="13">
        <f t="shared" si="14"/>
        <v>0</v>
      </c>
      <c r="K46">
        <f t="shared" si="8"/>
        <v>44</v>
      </c>
      <c r="L46">
        <f>A46-Overall!$D$7</f>
        <v>99</v>
      </c>
      <c r="M46" s="80">
        <f>IF(Overall!$B$42&gt;0,Overall!$B$42,MIN(100,(MAX(20,120-B46)))/100)</f>
        <v>0.21</v>
      </c>
      <c r="N46" s="10">
        <f>((1+(Overall!$D$43*M46+Overall!$D$44*(1-M46))) / (1+Overall!$B$45-Overall!$D$45)) -1</f>
        <v>1.6926829268292698E-2</v>
      </c>
      <c r="O46" s="1">
        <f>POWER(1+Overall!$D$45,$K46+1)</f>
        <v>1</v>
      </c>
      <c r="P46" s="1">
        <f>1/POWER((1+Overall!$B$45-Overall!$D$45),$K46+1)</f>
        <v>0.32917440359239231</v>
      </c>
      <c r="Q46" s="104">
        <f>O46*SUMIFS(Expenses!$D$4:'Expenses'!$D$70,Expenses!$E$4:'Expenses'!$E$70,"&lt;="&amp;A46,Expenses!$F$4:'Expenses'!$F$70,"&gt;"&amp;A46,Expenses!$G$4:'Expenses'!$G$70,"=TRUE")*(1+Overall!$B$98)</f>
        <v>90750.000000000015</v>
      </c>
      <c r="R46" s="104">
        <f>P46*SUMIFS(Expenses!$D$4:'Expenses'!$D$70,Expenses!$E$4:'Expenses'!$E$70,"&lt;="&amp;A46,Expenses!$F$4:'Expenses'!$F$70,"&gt;"&amp;A46,Expenses!$G$4:'Expenses'!$G$70,"=FALSE")</f>
        <v>0</v>
      </c>
      <c r="S46" s="46">
        <f>O46*SUMIFS(Income!$D$2:'Income'!$D$47,Income!$E$2:'Income'!$E$47,"&lt;="&amp;A46,Income!$F$2:'Income'!$F$47,"&gt;"&amp;A46,Income!$G$2:'Income'!$G$47,"=TRUE")</f>
        <v>26880</v>
      </c>
      <c r="T46" s="46">
        <f>P46*SUMIFS(Income!$D$2:'Income'!$D$47,Income!$E$2:'Income'!$E$47,"&lt;="&amp;A46,Income!$F$2:'Income'!$F$47,"&gt;"&amp;A46,Income!$G$2:'Income'!$G$47,"=FALSE")</f>
        <v>0</v>
      </c>
      <c r="U46" s="46">
        <f t="shared" si="15"/>
        <v>90750.000000000015</v>
      </c>
      <c r="V46" s="22">
        <f>MIN( MAX( (Overall!$B$65*AVERAGE(B46,L46)*C46*(1+N46)), MAX(U46-D46,0)), C46*(1+N46)) * Overall!$B$66</f>
        <v>0</v>
      </c>
      <c r="W46" s="22">
        <f t="shared" si="16"/>
        <v>26880</v>
      </c>
      <c r="X46" s="78">
        <f>IF(W46&lt;=Overall!$D$59*O46,Overall!$B$58,IF(W46&lt;=Overall!$D$61*O46,Overall!$B$60,Overall!$B$62))</f>
        <v>0.12</v>
      </c>
      <c r="Y46" s="22">
        <f t="shared" si="17"/>
        <v>3225.6</v>
      </c>
      <c r="Z46" s="10">
        <f t="shared" si="18"/>
        <v>0</v>
      </c>
    </row>
    <row r="47" spans="1:26" x14ac:dyDescent="0.3">
      <c r="A47">
        <f>Overall!$B$1+K47</f>
        <v>2070</v>
      </c>
      <c r="B47">
        <f>A47-Overall!$B$7</f>
        <v>100</v>
      </c>
      <c r="C47" s="104">
        <f>IF(K47&lt;=0,Overall!$B$89,H46)</f>
        <v>0</v>
      </c>
      <c r="D47" s="22">
        <f t="shared" si="10"/>
        <v>26880</v>
      </c>
      <c r="E47" s="22">
        <f t="shared" si="11"/>
        <v>93975.60000000002</v>
      </c>
      <c r="F47" s="22">
        <f t="shared" si="12"/>
        <v>67095.60000000002</v>
      </c>
      <c r="G47" s="22">
        <f t="shared" si="13"/>
        <v>0</v>
      </c>
      <c r="H47" s="13">
        <f t="shared" si="14"/>
        <v>0</v>
      </c>
      <c r="K47">
        <f t="shared" si="8"/>
        <v>45</v>
      </c>
      <c r="L47">
        <f>A47-Overall!$D$7</f>
        <v>100</v>
      </c>
      <c r="M47" s="80">
        <f>IF(Overall!$B$42&gt;0,Overall!$B$42,MIN(100,(MAX(20,120-B47)))/100)</f>
        <v>0.2</v>
      </c>
      <c r="N47" s="10">
        <f>((1+(Overall!$D$43*M47+Overall!$D$44*(1-M47))) / (1+Overall!$B$45-Overall!$D$45)) -1</f>
        <v>1.6585365853658551E-2</v>
      </c>
      <c r="O47" s="1">
        <f>POWER(1+Overall!$D$45,$K47+1)</f>
        <v>1</v>
      </c>
      <c r="P47" s="1">
        <f>1/POWER((1+Overall!$B$45-Overall!$D$45),$K47+1)</f>
        <v>0.32114575960233399</v>
      </c>
      <c r="Q47" s="104">
        <f>O47*SUMIFS(Expenses!$D$4:'Expenses'!$D$70,Expenses!$E$4:'Expenses'!$E$70,"&lt;="&amp;A47,Expenses!$F$4:'Expenses'!$F$70,"&gt;"&amp;A47,Expenses!$G$4:'Expenses'!$G$70,"=TRUE")*(1+Overall!$B$98)</f>
        <v>90750.000000000015</v>
      </c>
      <c r="R47" s="104">
        <f>P47*SUMIFS(Expenses!$D$4:'Expenses'!$D$70,Expenses!$E$4:'Expenses'!$E$70,"&lt;="&amp;A47,Expenses!$F$4:'Expenses'!$F$70,"&gt;"&amp;A47,Expenses!$G$4:'Expenses'!$G$70,"=FALSE")</f>
        <v>0</v>
      </c>
      <c r="S47" s="46">
        <f>O47*SUMIFS(Income!$D$2:'Income'!$D$47,Income!$E$2:'Income'!$E$47,"&lt;="&amp;A47,Income!$F$2:'Income'!$F$47,"&gt;"&amp;A47,Income!$G$2:'Income'!$G$47,"=TRUE")</f>
        <v>26880</v>
      </c>
      <c r="T47" s="46">
        <f>P47*SUMIFS(Income!$D$2:'Income'!$D$47,Income!$E$2:'Income'!$E$47,"&lt;="&amp;A47,Income!$F$2:'Income'!$F$47,"&gt;"&amp;A47,Income!$G$2:'Income'!$G$47,"=FALSE")</f>
        <v>0</v>
      </c>
      <c r="U47" s="46">
        <f t="shared" si="15"/>
        <v>90750.000000000015</v>
      </c>
      <c r="V47" s="22">
        <f>MIN( MAX( (Overall!$B$65*AVERAGE(B47,L47)*C47*(1+N47)), MAX(U47-D47,0)), C47*(1+N47)) * Overall!$B$66</f>
        <v>0</v>
      </c>
      <c r="W47" s="22">
        <f t="shared" si="16"/>
        <v>26880</v>
      </c>
      <c r="X47" s="78">
        <f>IF(W47&lt;=Overall!$D$59*O47,Overall!$B$58,IF(W47&lt;=Overall!$D$61*O47,Overall!$B$60,Overall!$B$62))</f>
        <v>0.12</v>
      </c>
      <c r="Y47" s="22">
        <f t="shared" si="17"/>
        <v>3225.6</v>
      </c>
      <c r="Z47" s="10">
        <f t="shared" si="18"/>
        <v>0</v>
      </c>
    </row>
    <row r="48" spans="1:26" x14ac:dyDescent="0.3">
      <c r="A48">
        <f>Overall!$B$1+K48</f>
        <v>2071</v>
      </c>
      <c r="B48">
        <f>A48-Overall!$B$7</f>
        <v>101</v>
      </c>
      <c r="C48" s="104">
        <f>IF(K48&lt;=0,Overall!$B$89,H47)</f>
        <v>0</v>
      </c>
      <c r="D48" s="22">
        <f t="shared" si="10"/>
        <v>26880</v>
      </c>
      <c r="E48" s="22">
        <f t="shared" si="11"/>
        <v>93975.60000000002</v>
      </c>
      <c r="F48" s="22">
        <f t="shared" si="12"/>
        <v>67095.60000000002</v>
      </c>
      <c r="G48" s="22">
        <f t="shared" si="13"/>
        <v>0</v>
      </c>
      <c r="H48" s="13">
        <f t="shared" si="14"/>
        <v>0</v>
      </c>
      <c r="K48">
        <f t="shared" si="8"/>
        <v>46</v>
      </c>
      <c r="L48">
        <f>A48-Overall!$D$7</f>
        <v>101</v>
      </c>
      <c r="M48" s="80">
        <f>IF(Overall!$B$42&gt;0,Overall!$B$42,MIN(100,(MAX(20,120-B48)))/100)</f>
        <v>0.2</v>
      </c>
      <c r="N48" s="10">
        <f>((1+(Overall!$D$43*M48+Overall!$D$44*(1-M48))) / (1+Overall!$B$45-Overall!$D$45)) -1</f>
        <v>1.6585365853658551E-2</v>
      </c>
      <c r="O48" s="1">
        <f>POWER(1+Overall!$D$45,$K48+1)</f>
        <v>1</v>
      </c>
      <c r="P48" s="1">
        <f>1/POWER((1+Overall!$B$45-Overall!$D$45),$K48+1)</f>
        <v>0.31331293619739897</v>
      </c>
      <c r="Q48" s="104">
        <f>O48*SUMIFS(Expenses!$D$4:'Expenses'!$D$70,Expenses!$E$4:'Expenses'!$E$70,"&lt;="&amp;A48,Expenses!$F$4:'Expenses'!$F$70,"&gt;"&amp;A48,Expenses!$G$4:'Expenses'!$G$70,"=TRUE")*(1+Overall!$B$98)</f>
        <v>90750.000000000015</v>
      </c>
      <c r="R48" s="104">
        <f>P48*SUMIFS(Expenses!$D$4:'Expenses'!$D$70,Expenses!$E$4:'Expenses'!$E$70,"&lt;="&amp;A48,Expenses!$F$4:'Expenses'!$F$70,"&gt;"&amp;A48,Expenses!$G$4:'Expenses'!$G$70,"=FALSE")</f>
        <v>0</v>
      </c>
      <c r="S48" s="46">
        <f>O48*SUMIFS(Income!$D$2:'Income'!$D$47,Income!$E$2:'Income'!$E$47,"&lt;="&amp;A48,Income!$F$2:'Income'!$F$47,"&gt;"&amp;A48,Income!$G$2:'Income'!$G$47,"=TRUE")</f>
        <v>26880</v>
      </c>
      <c r="T48" s="46">
        <f>P48*SUMIFS(Income!$D$2:'Income'!$D$47,Income!$E$2:'Income'!$E$47,"&lt;="&amp;A48,Income!$F$2:'Income'!$F$47,"&gt;"&amp;A48,Income!$G$2:'Income'!$G$47,"=FALSE")</f>
        <v>0</v>
      </c>
      <c r="U48" s="46">
        <f t="shared" si="15"/>
        <v>90750.000000000015</v>
      </c>
      <c r="V48" s="22">
        <f>MIN( MAX( (Overall!$B$65*AVERAGE(B48,L48)*C48*(1+N48)), MAX(U48-D48,0)), C48*(1+N48)) * Overall!$B$66</f>
        <v>0</v>
      </c>
      <c r="W48" s="22">
        <f t="shared" si="16"/>
        <v>26880</v>
      </c>
      <c r="X48" s="78">
        <f>IF(W48&lt;=Overall!$D$59*O48,Overall!$B$58,IF(W48&lt;=Overall!$D$61*O48,Overall!$B$60,Overall!$B$62))</f>
        <v>0.12</v>
      </c>
      <c r="Y48" s="22">
        <f t="shared" si="17"/>
        <v>3225.6</v>
      </c>
      <c r="Z48" s="10">
        <f t="shared" si="18"/>
        <v>0</v>
      </c>
    </row>
    <row r="49" spans="1:26" x14ac:dyDescent="0.3">
      <c r="A49">
        <f>Overall!$B$1+K49</f>
        <v>2072</v>
      </c>
      <c r="B49">
        <f>A49-Overall!$B$7</f>
        <v>102</v>
      </c>
      <c r="C49" s="104">
        <f>IF(K49&lt;=0,Overall!$B$89,H48)</f>
        <v>0</v>
      </c>
      <c r="D49" s="22">
        <f t="shared" si="10"/>
        <v>26880</v>
      </c>
      <c r="E49" s="22">
        <f t="shared" si="11"/>
        <v>93975.60000000002</v>
      </c>
      <c r="F49" s="22">
        <f t="shared" si="12"/>
        <v>67095.60000000002</v>
      </c>
      <c r="G49" s="22">
        <f t="shared" si="13"/>
        <v>0</v>
      </c>
      <c r="H49" s="13">
        <f t="shared" si="14"/>
        <v>0</v>
      </c>
      <c r="K49">
        <f t="shared" si="8"/>
        <v>47</v>
      </c>
      <c r="L49">
        <f>A49-Overall!$D$7</f>
        <v>102</v>
      </c>
      <c r="M49" s="80">
        <f>IF(Overall!$B$42&gt;0,Overall!$B$42,MIN(100,(MAX(20,120-B49)))/100)</f>
        <v>0.2</v>
      </c>
      <c r="N49" s="10">
        <f>((1+(Overall!$D$43*M49+Overall!$D$44*(1-M49))) / (1+Overall!$B$45-Overall!$D$45)) -1</f>
        <v>1.6585365853658551E-2</v>
      </c>
      <c r="O49" s="1">
        <f>POWER(1+Overall!$D$45,$K49+1)</f>
        <v>1</v>
      </c>
      <c r="P49" s="1">
        <f>1/POWER((1+Overall!$B$45-Overall!$D$45),$K49+1)</f>
        <v>0.30567115726575511</v>
      </c>
      <c r="Q49" s="104">
        <f>O49*SUMIFS(Expenses!$D$4:'Expenses'!$D$70,Expenses!$E$4:'Expenses'!$E$70,"&lt;="&amp;A49,Expenses!$F$4:'Expenses'!$F$70,"&gt;"&amp;A49,Expenses!$G$4:'Expenses'!$G$70,"=TRUE")*(1+Overall!$B$98)</f>
        <v>90750.000000000015</v>
      </c>
      <c r="R49" s="104">
        <f>P49*SUMIFS(Expenses!$D$4:'Expenses'!$D$70,Expenses!$E$4:'Expenses'!$E$70,"&lt;="&amp;A49,Expenses!$F$4:'Expenses'!$F$70,"&gt;"&amp;A49,Expenses!$G$4:'Expenses'!$G$70,"=FALSE")</f>
        <v>0</v>
      </c>
      <c r="S49" s="46">
        <f>O49*SUMIFS(Income!$D$2:'Income'!$D$47,Income!$E$2:'Income'!$E$47,"&lt;="&amp;A49,Income!$F$2:'Income'!$F$47,"&gt;"&amp;A49,Income!$G$2:'Income'!$G$47,"=TRUE")</f>
        <v>26880</v>
      </c>
      <c r="T49" s="46">
        <f>P49*SUMIFS(Income!$D$2:'Income'!$D$47,Income!$E$2:'Income'!$E$47,"&lt;="&amp;A49,Income!$F$2:'Income'!$F$47,"&gt;"&amp;A49,Income!$G$2:'Income'!$G$47,"=FALSE")</f>
        <v>0</v>
      </c>
      <c r="U49" s="46">
        <f t="shared" si="15"/>
        <v>90750.000000000015</v>
      </c>
      <c r="V49" s="22">
        <f>MIN( MAX( (Overall!$B$65*AVERAGE(B49,L49)*C49*(1+N49)), MAX(U49-D49,0)), C49*(1+N49)) * Overall!$B$66</f>
        <v>0</v>
      </c>
      <c r="W49" s="22">
        <f t="shared" si="16"/>
        <v>26880</v>
      </c>
      <c r="X49" s="78">
        <f>IF(W49&lt;=Overall!$D$59*O49,Overall!$B$58,IF(W49&lt;=Overall!$D$61*O49,Overall!$B$60,Overall!$B$62))</f>
        <v>0.12</v>
      </c>
      <c r="Y49" s="22">
        <f t="shared" si="17"/>
        <v>3225.6</v>
      </c>
      <c r="Z49" s="10">
        <f t="shared" si="18"/>
        <v>0</v>
      </c>
    </row>
    <row r="50" spans="1:26" x14ac:dyDescent="0.3">
      <c r="A50">
        <f>Overall!$B$1+K50</f>
        <v>2073</v>
      </c>
      <c r="B50">
        <f>A50-Overall!$B$7</f>
        <v>103</v>
      </c>
      <c r="C50" s="104">
        <f>IF(K50&lt;=0,Overall!$B$89,H49)</f>
        <v>0</v>
      </c>
      <c r="D50" s="22">
        <f t="shared" si="10"/>
        <v>26880</v>
      </c>
      <c r="E50" s="22">
        <f t="shared" si="11"/>
        <v>93975.60000000002</v>
      </c>
      <c r="F50" s="22">
        <f t="shared" si="12"/>
        <v>67095.60000000002</v>
      </c>
      <c r="G50" s="22">
        <f t="shared" si="13"/>
        <v>0</v>
      </c>
      <c r="H50" s="13">
        <f t="shared" si="14"/>
        <v>0</v>
      </c>
      <c r="K50">
        <f t="shared" si="8"/>
        <v>48</v>
      </c>
      <c r="L50">
        <f>A50-Overall!$D$7</f>
        <v>103</v>
      </c>
      <c r="M50" s="80">
        <f>IF(Overall!$B$42&gt;0,Overall!$B$42,MIN(100,(MAX(20,120-B50)))/100)</f>
        <v>0.2</v>
      </c>
      <c r="N50" s="10">
        <f>((1+(Overall!$D$43*M50+Overall!$D$44*(1-M50))) / (1+Overall!$B$45-Overall!$D$45)) -1</f>
        <v>1.6585365853658551E-2</v>
      </c>
      <c r="O50" s="1">
        <f>POWER(1+Overall!$D$45,$K50+1)</f>
        <v>1</v>
      </c>
      <c r="P50" s="1">
        <f>1/POWER((1+Overall!$B$45-Overall!$D$45),$K50+1)</f>
        <v>0.2982157631861026</v>
      </c>
      <c r="Q50" s="104">
        <f>O50*SUMIFS(Expenses!$D$4:'Expenses'!$D$70,Expenses!$E$4:'Expenses'!$E$70,"&lt;="&amp;A50,Expenses!$F$4:'Expenses'!$F$70,"&gt;"&amp;A50,Expenses!$G$4:'Expenses'!$G$70,"=TRUE")*(1+Overall!$B$98)</f>
        <v>90750.000000000015</v>
      </c>
      <c r="R50" s="104">
        <f>P50*SUMIFS(Expenses!$D$4:'Expenses'!$D$70,Expenses!$E$4:'Expenses'!$E$70,"&lt;="&amp;A50,Expenses!$F$4:'Expenses'!$F$70,"&gt;"&amp;A50,Expenses!$G$4:'Expenses'!$G$70,"=FALSE")</f>
        <v>0</v>
      </c>
      <c r="S50" s="46">
        <f>O50*SUMIFS(Income!$D$2:'Income'!$D$47,Income!$E$2:'Income'!$E$47,"&lt;="&amp;A50,Income!$F$2:'Income'!$F$47,"&gt;"&amp;A50,Income!$G$2:'Income'!$G$47,"=TRUE")</f>
        <v>26880</v>
      </c>
      <c r="T50" s="46">
        <f>P50*SUMIFS(Income!$D$2:'Income'!$D$47,Income!$E$2:'Income'!$E$47,"&lt;="&amp;A50,Income!$F$2:'Income'!$F$47,"&gt;"&amp;A50,Income!$G$2:'Income'!$G$47,"=FALSE")</f>
        <v>0</v>
      </c>
      <c r="U50" s="46">
        <f t="shared" si="15"/>
        <v>90750.000000000015</v>
      </c>
      <c r="V50" s="22">
        <f>MIN( MAX( (Overall!$B$65*AVERAGE(B50,L50)*C50*(1+N50)), MAX(U50-D50,0)), C50*(1+N50)) * Overall!$B$66</f>
        <v>0</v>
      </c>
      <c r="W50" s="22">
        <f t="shared" si="16"/>
        <v>26880</v>
      </c>
      <c r="X50" s="78">
        <f>IF(W50&lt;=Overall!$D$59*O50,Overall!$B$58,IF(W50&lt;=Overall!$D$61*O50,Overall!$B$60,Overall!$B$62))</f>
        <v>0.12</v>
      </c>
      <c r="Y50" s="22">
        <f t="shared" si="17"/>
        <v>3225.6</v>
      </c>
      <c r="Z50" s="10">
        <f t="shared" si="18"/>
        <v>0</v>
      </c>
    </row>
    <row r="51" spans="1:26" x14ac:dyDescent="0.3">
      <c r="A51">
        <f>Overall!$B$1+K51</f>
        <v>2074</v>
      </c>
      <c r="B51">
        <f>A51-Overall!$B$7</f>
        <v>104</v>
      </c>
      <c r="C51" s="104">
        <f>IF(K51&lt;=0,Overall!$B$89,H50)</f>
        <v>0</v>
      </c>
      <c r="D51" s="22">
        <f t="shared" si="10"/>
        <v>26880</v>
      </c>
      <c r="E51" s="22">
        <f t="shared" si="11"/>
        <v>93975.60000000002</v>
      </c>
      <c r="F51" s="22">
        <f t="shared" si="12"/>
        <v>67095.60000000002</v>
      </c>
      <c r="G51" s="22">
        <f t="shared" si="13"/>
        <v>0</v>
      </c>
      <c r="H51" s="13">
        <f t="shared" si="14"/>
        <v>0</v>
      </c>
      <c r="K51">
        <f t="shared" si="8"/>
        <v>49</v>
      </c>
      <c r="L51">
        <f>A51-Overall!$D$7</f>
        <v>104</v>
      </c>
      <c r="M51" s="80">
        <f>IF(Overall!$B$42&gt;0,Overall!$B$42,MIN(100,(MAX(20,120-B51)))/100)</f>
        <v>0.2</v>
      </c>
      <c r="N51" s="10">
        <f>((1+(Overall!$D$43*M51+Overall!$D$44*(1-M51))) / (1+Overall!$B$45-Overall!$D$45)) -1</f>
        <v>1.6585365853658551E-2</v>
      </c>
      <c r="O51" s="1">
        <f>POWER(1+Overall!$D$45,$K51+1)</f>
        <v>1</v>
      </c>
      <c r="P51" s="1">
        <f>1/POWER((1+Overall!$B$45-Overall!$D$45),$K51+1)</f>
        <v>0.29094220798644155</v>
      </c>
      <c r="Q51" s="104">
        <f>O51*SUMIFS(Expenses!$D$4:'Expenses'!$D$70,Expenses!$E$4:'Expenses'!$E$70,"&lt;="&amp;A51,Expenses!$F$4:'Expenses'!$F$70,"&gt;"&amp;A51,Expenses!$G$4:'Expenses'!$G$70,"=TRUE")*(1+Overall!$B$98)</f>
        <v>90750.000000000015</v>
      </c>
      <c r="R51" s="104">
        <f>P51*SUMIFS(Expenses!$D$4:'Expenses'!$D$70,Expenses!$E$4:'Expenses'!$E$70,"&lt;="&amp;A51,Expenses!$F$4:'Expenses'!$F$70,"&gt;"&amp;A51,Expenses!$G$4:'Expenses'!$G$70,"=FALSE")</f>
        <v>0</v>
      </c>
      <c r="S51" s="46">
        <f>O51*SUMIFS(Income!$D$2:'Income'!$D$47,Income!$E$2:'Income'!$E$47,"&lt;="&amp;A51,Income!$F$2:'Income'!$F$47,"&gt;"&amp;A51,Income!$G$2:'Income'!$G$47,"=TRUE")</f>
        <v>26880</v>
      </c>
      <c r="T51" s="46">
        <f>P51*SUMIFS(Income!$D$2:'Income'!$D$47,Income!$E$2:'Income'!$E$47,"&lt;="&amp;A51,Income!$F$2:'Income'!$F$47,"&gt;"&amp;A51,Income!$G$2:'Income'!$G$47,"=FALSE")</f>
        <v>0</v>
      </c>
      <c r="U51" s="46">
        <f t="shared" si="15"/>
        <v>90750.000000000015</v>
      </c>
      <c r="V51" s="22">
        <f>MIN( MAX( (Overall!$B$65*AVERAGE(B51,L51)*C51*(1+N51)), MAX(U51-D51,0)), C51*(1+N51)) * Overall!$B$66</f>
        <v>0</v>
      </c>
      <c r="W51" s="22">
        <f t="shared" si="16"/>
        <v>26880</v>
      </c>
      <c r="X51" s="78">
        <f>IF(W51&lt;=Overall!$D$59*O51,Overall!$B$58,IF(W51&lt;=Overall!$D$61*O51,Overall!$B$60,Overall!$B$62))</f>
        <v>0.12</v>
      </c>
      <c r="Y51" s="22">
        <f t="shared" si="17"/>
        <v>3225.6</v>
      </c>
      <c r="Z51" s="10">
        <f t="shared" si="18"/>
        <v>0</v>
      </c>
    </row>
    <row r="52" spans="1:26" x14ac:dyDescent="0.3">
      <c r="A52">
        <f>Overall!$B$1+K52</f>
        <v>2075</v>
      </c>
      <c r="B52">
        <f>A52-Overall!$B$7</f>
        <v>105</v>
      </c>
      <c r="C52" s="104">
        <f>IF(K52&lt;=0,Overall!$B$89,H51)</f>
        <v>0</v>
      </c>
      <c r="D52" s="22">
        <f t="shared" si="10"/>
        <v>26880</v>
      </c>
      <c r="E52" s="22">
        <f t="shared" si="11"/>
        <v>93975.60000000002</v>
      </c>
      <c r="F52" s="22">
        <f t="shared" si="12"/>
        <v>67095.60000000002</v>
      </c>
      <c r="G52" s="22">
        <f t="shared" si="13"/>
        <v>0</v>
      </c>
      <c r="H52" s="13">
        <f t="shared" si="14"/>
        <v>0</v>
      </c>
      <c r="K52">
        <f t="shared" si="8"/>
        <v>50</v>
      </c>
      <c r="L52">
        <f>A52-Overall!$D$7</f>
        <v>105</v>
      </c>
      <c r="M52" s="80">
        <f>IF(Overall!$B$42&gt;0,Overall!$B$42,MIN(100,(MAX(20,120-B52)))/100)</f>
        <v>0.2</v>
      </c>
      <c r="N52" s="10">
        <f>((1+(Overall!$D$43*M52+Overall!$D$44*(1-M52))) / (1+Overall!$B$45-Overall!$D$45)) -1</f>
        <v>1.6585365853658551E-2</v>
      </c>
      <c r="O52" s="1">
        <f>POWER(1+Overall!$D$45,$K52+1)</f>
        <v>1</v>
      </c>
      <c r="P52" s="1">
        <f>1/POWER((1+Overall!$B$45-Overall!$D$45),$K52+1)</f>
        <v>0.28384605657213807</v>
      </c>
      <c r="Q52" s="104">
        <f>O52*SUMIFS(Expenses!$D$4:'Expenses'!$D$70,Expenses!$E$4:'Expenses'!$E$70,"&lt;="&amp;A52,Expenses!$F$4:'Expenses'!$F$70,"&gt;"&amp;A52,Expenses!$G$4:'Expenses'!$G$70,"=TRUE")*(1+Overall!$B$98)</f>
        <v>90750.000000000015</v>
      </c>
      <c r="R52" s="104">
        <f>P52*SUMIFS(Expenses!$D$4:'Expenses'!$D$70,Expenses!$E$4:'Expenses'!$E$70,"&lt;="&amp;A52,Expenses!$F$4:'Expenses'!$F$70,"&gt;"&amp;A52,Expenses!$G$4:'Expenses'!$G$70,"=FALSE")</f>
        <v>0</v>
      </c>
      <c r="S52" s="46">
        <f>O52*SUMIFS(Income!$D$2:'Income'!$D$47,Income!$E$2:'Income'!$E$47,"&lt;="&amp;A52,Income!$F$2:'Income'!$F$47,"&gt;"&amp;A52,Income!$G$2:'Income'!$G$47,"=TRUE")</f>
        <v>26880</v>
      </c>
      <c r="T52" s="46">
        <f>P52*SUMIFS(Income!$D$2:'Income'!$D$47,Income!$E$2:'Income'!$E$47,"&lt;="&amp;A52,Income!$F$2:'Income'!$F$47,"&gt;"&amp;A52,Income!$G$2:'Income'!$G$47,"=FALSE")</f>
        <v>0</v>
      </c>
      <c r="U52" s="46">
        <f t="shared" si="15"/>
        <v>90750.000000000015</v>
      </c>
      <c r="V52" s="22">
        <f>MIN( MAX( (Overall!$B$65*AVERAGE(B52,L52)*C52*(1+N52)), MAX(U52-D52,0)), C52*(1+N52)) * Overall!$B$66</f>
        <v>0</v>
      </c>
      <c r="W52" s="22">
        <f t="shared" si="16"/>
        <v>26880</v>
      </c>
      <c r="X52" s="78">
        <f>IF(W52&lt;=Overall!$D$59*O52,Overall!$B$58,IF(W52&lt;=Overall!$D$61*O52,Overall!$B$60,Overall!$B$62))</f>
        <v>0.12</v>
      </c>
      <c r="Y52" s="22">
        <f t="shared" si="17"/>
        <v>3225.6</v>
      </c>
      <c r="Z52" s="10">
        <f t="shared" si="18"/>
        <v>0</v>
      </c>
    </row>
    <row r="53" spans="1:26" x14ac:dyDescent="0.3">
      <c r="A53">
        <f>Overall!$B$1+K53</f>
        <v>2076</v>
      </c>
      <c r="B53">
        <f>A53-Overall!$B$7</f>
        <v>106</v>
      </c>
      <c r="C53" s="104">
        <f>IF(K53&lt;=0,Overall!$B$89,H52)</f>
        <v>0</v>
      </c>
      <c r="D53" s="22">
        <f t="shared" si="10"/>
        <v>26880</v>
      </c>
      <c r="E53" s="22">
        <f t="shared" si="11"/>
        <v>93975.60000000002</v>
      </c>
      <c r="F53" s="22">
        <f t="shared" si="12"/>
        <v>67095.60000000002</v>
      </c>
      <c r="G53" s="22">
        <f t="shared" si="13"/>
        <v>0</v>
      </c>
      <c r="H53" s="13">
        <f t="shared" si="14"/>
        <v>0</v>
      </c>
      <c r="K53">
        <f t="shared" si="8"/>
        <v>51</v>
      </c>
      <c r="L53">
        <f>A53-Overall!$D$7</f>
        <v>106</v>
      </c>
      <c r="M53" s="80">
        <f>IF(Overall!$B$42&gt;0,Overall!$B$42,MIN(100,(MAX(20,120-B53)))/100)</f>
        <v>0.2</v>
      </c>
      <c r="N53" s="10">
        <f>((1+(Overall!$D$43*M53+Overall!$D$44*(1-M53))) / (1+Overall!$B$45-Overall!$D$45)) -1</f>
        <v>1.6585365853658551E-2</v>
      </c>
      <c r="O53" s="1">
        <f>POWER(1+Overall!$D$45,$K53+1)</f>
        <v>1</v>
      </c>
      <c r="P53" s="1">
        <f>1/POWER((1+Overall!$B$45-Overall!$D$45),$K53+1)</f>
        <v>0.27692298202159815</v>
      </c>
      <c r="Q53" s="104">
        <f>O53*SUMIFS(Expenses!$D$4:'Expenses'!$D$70,Expenses!$E$4:'Expenses'!$E$70,"&lt;="&amp;A53,Expenses!$F$4:'Expenses'!$F$70,"&gt;"&amp;A53,Expenses!$G$4:'Expenses'!$G$70,"=TRUE")*(1+Overall!$B$98)</f>
        <v>90750.000000000015</v>
      </c>
      <c r="R53" s="104">
        <f>P53*SUMIFS(Expenses!$D$4:'Expenses'!$D$70,Expenses!$E$4:'Expenses'!$E$70,"&lt;="&amp;A53,Expenses!$F$4:'Expenses'!$F$70,"&gt;"&amp;A53,Expenses!$G$4:'Expenses'!$G$70,"=FALSE")</f>
        <v>0</v>
      </c>
      <c r="S53" s="46">
        <f>O53*SUMIFS(Income!$D$2:'Income'!$D$47,Income!$E$2:'Income'!$E$47,"&lt;="&amp;A53,Income!$F$2:'Income'!$F$47,"&gt;"&amp;A53,Income!$G$2:'Income'!$G$47,"=TRUE")</f>
        <v>26880</v>
      </c>
      <c r="T53" s="46">
        <f>P53*SUMIFS(Income!$D$2:'Income'!$D$47,Income!$E$2:'Income'!$E$47,"&lt;="&amp;A53,Income!$F$2:'Income'!$F$47,"&gt;"&amp;A53,Income!$G$2:'Income'!$G$47,"=FALSE")</f>
        <v>0</v>
      </c>
      <c r="U53" s="46">
        <f t="shared" si="15"/>
        <v>90750.000000000015</v>
      </c>
      <c r="V53" s="22">
        <f>MIN( MAX( (Overall!$B$65*AVERAGE(B53,L53)*C53*(1+N53)), MAX(U53-D53,0)), C53*(1+N53)) * Overall!$B$66</f>
        <v>0</v>
      </c>
      <c r="W53" s="22">
        <f t="shared" si="16"/>
        <v>26880</v>
      </c>
      <c r="X53" s="78">
        <f>IF(W53&lt;=Overall!$D$59*O53,Overall!$B$58,IF(W53&lt;=Overall!$D$61*O53,Overall!$B$60,Overall!$B$62))</f>
        <v>0.12</v>
      </c>
      <c r="Y53" s="22">
        <f t="shared" si="17"/>
        <v>3225.6</v>
      </c>
      <c r="Z53" s="10">
        <f t="shared" si="18"/>
        <v>0</v>
      </c>
    </row>
    <row r="54" spans="1:26" x14ac:dyDescent="0.3">
      <c r="A54">
        <f>Overall!$B$1+K54</f>
        <v>2077</v>
      </c>
      <c r="B54">
        <f>A54-Overall!$B$7</f>
        <v>107</v>
      </c>
      <c r="C54" s="104">
        <f>IF(K54&lt;=0,Overall!$B$89,H53)</f>
        <v>0</v>
      </c>
      <c r="D54" s="22">
        <f t="shared" si="10"/>
        <v>26880</v>
      </c>
      <c r="E54" s="22">
        <f t="shared" si="11"/>
        <v>93975.60000000002</v>
      </c>
      <c r="F54" s="22">
        <f t="shared" si="12"/>
        <v>67095.60000000002</v>
      </c>
      <c r="G54" s="22">
        <f t="shared" si="13"/>
        <v>0</v>
      </c>
      <c r="H54" s="13">
        <f t="shared" si="14"/>
        <v>0</v>
      </c>
      <c r="K54">
        <f t="shared" si="8"/>
        <v>52</v>
      </c>
      <c r="L54">
        <f>A54-Overall!$D$7</f>
        <v>107</v>
      </c>
      <c r="M54" s="80">
        <f>IF(Overall!$B$42&gt;0,Overall!$B$42,MIN(100,(MAX(20,120-B54)))/100)</f>
        <v>0.2</v>
      </c>
      <c r="N54" s="10">
        <f>((1+(Overall!$D$43*M54+Overall!$D$44*(1-M54))) / (1+Overall!$B$45-Overall!$D$45)) -1</f>
        <v>1.6585365853658551E-2</v>
      </c>
      <c r="O54" s="1">
        <f>POWER(1+Overall!$D$45,$K54+1)</f>
        <v>1</v>
      </c>
      <c r="P54" s="1">
        <f>1/POWER((1+Overall!$B$45-Overall!$D$45),$K54+1)</f>
        <v>0.27016876294790065</v>
      </c>
      <c r="Q54" s="104">
        <f>O54*SUMIFS(Expenses!$D$4:'Expenses'!$D$70,Expenses!$E$4:'Expenses'!$E$70,"&lt;="&amp;A54,Expenses!$F$4:'Expenses'!$F$70,"&gt;"&amp;A54,Expenses!$G$4:'Expenses'!$G$70,"=TRUE")*(1+Overall!$B$98)</f>
        <v>90750.000000000015</v>
      </c>
      <c r="R54" s="104">
        <f>P54*SUMIFS(Expenses!$D$4:'Expenses'!$D$70,Expenses!$E$4:'Expenses'!$E$70,"&lt;="&amp;A54,Expenses!$F$4:'Expenses'!$F$70,"&gt;"&amp;A54,Expenses!$G$4:'Expenses'!$G$70,"=FALSE")</f>
        <v>0</v>
      </c>
      <c r="S54" s="46">
        <f>O54*SUMIFS(Income!$D$2:'Income'!$D$47,Income!$E$2:'Income'!$E$47,"&lt;="&amp;A54,Income!$F$2:'Income'!$F$47,"&gt;"&amp;A54,Income!$G$2:'Income'!$G$47,"=TRUE")</f>
        <v>26880</v>
      </c>
      <c r="T54" s="46">
        <f>P54*SUMIFS(Income!$D$2:'Income'!$D$47,Income!$E$2:'Income'!$E$47,"&lt;="&amp;A54,Income!$F$2:'Income'!$F$47,"&gt;"&amp;A54,Income!$G$2:'Income'!$G$47,"=FALSE")</f>
        <v>0</v>
      </c>
      <c r="U54" s="46">
        <f t="shared" si="15"/>
        <v>90750.000000000015</v>
      </c>
      <c r="V54" s="22">
        <f>MIN( MAX( (Overall!$B$65*AVERAGE(B54,L54)*C54*(1+N54)), MAX(U54-D54,0)), C54*(1+N54)) * Overall!$B$66</f>
        <v>0</v>
      </c>
      <c r="W54" s="22">
        <f t="shared" si="16"/>
        <v>26880</v>
      </c>
      <c r="X54" s="78">
        <f>IF(W54&lt;=Overall!$D$59*O54,Overall!$B$58,IF(W54&lt;=Overall!$D$61*O54,Overall!$B$60,Overall!$B$62))</f>
        <v>0.12</v>
      </c>
      <c r="Y54" s="22">
        <f t="shared" si="17"/>
        <v>3225.6</v>
      </c>
      <c r="Z54" s="10">
        <f t="shared" si="18"/>
        <v>0</v>
      </c>
    </row>
    <row r="55" spans="1:26" x14ac:dyDescent="0.3">
      <c r="A55">
        <f>Overall!$B$1+K55</f>
        <v>2078</v>
      </c>
      <c r="B55">
        <f>A55-Overall!$B$7</f>
        <v>108</v>
      </c>
      <c r="C55" s="104">
        <f>IF(K55&lt;=0,Overall!$B$89,H54)</f>
        <v>0</v>
      </c>
      <c r="D55" s="22">
        <f t="shared" si="10"/>
        <v>26880</v>
      </c>
      <c r="E55" s="22">
        <f t="shared" si="11"/>
        <v>93975.60000000002</v>
      </c>
      <c r="F55" s="22">
        <f t="shared" si="12"/>
        <v>67095.60000000002</v>
      </c>
      <c r="G55" s="22">
        <f t="shared" si="13"/>
        <v>0</v>
      </c>
      <c r="H55" s="13">
        <f t="shared" si="14"/>
        <v>0</v>
      </c>
      <c r="K55">
        <f t="shared" si="8"/>
        <v>53</v>
      </c>
      <c r="L55">
        <f>A55-Overall!$D$7</f>
        <v>108</v>
      </c>
      <c r="M55" s="80">
        <f>IF(Overall!$B$42&gt;0,Overall!$B$42,MIN(100,(MAX(20,120-B55)))/100)</f>
        <v>0.2</v>
      </c>
      <c r="N55" s="10">
        <f>((1+(Overall!$D$43*M55+Overall!$D$44*(1-M55))) / (1+Overall!$B$45-Overall!$D$45)) -1</f>
        <v>1.6585365853658551E-2</v>
      </c>
      <c r="O55" s="1">
        <f>POWER(1+Overall!$D$45,$K55+1)</f>
        <v>1</v>
      </c>
      <c r="P55" s="1">
        <f>1/POWER((1+Overall!$B$45-Overall!$D$45),$K55+1)</f>
        <v>0.26357928092478117</v>
      </c>
      <c r="Q55" s="104">
        <f>O55*SUMIFS(Expenses!$D$4:'Expenses'!$D$70,Expenses!$E$4:'Expenses'!$E$70,"&lt;="&amp;A55,Expenses!$F$4:'Expenses'!$F$70,"&gt;"&amp;A55,Expenses!$G$4:'Expenses'!$G$70,"=TRUE")*(1+Overall!$B$98)</f>
        <v>90750.000000000015</v>
      </c>
      <c r="R55" s="104">
        <f>P55*SUMIFS(Expenses!$D$4:'Expenses'!$D$70,Expenses!$E$4:'Expenses'!$E$70,"&lt;="&amp;A55,Expenses!$F$4:'Expenses'!$F$70,"&gt;"&amp;A55,Expenses!$G$4:'Expenses'!$G$70,"=FALSE")</f>
        <v>0</v>
      </c>
      <c r="S55" s="46">
        <f>O55*SUMIFS(Income!$D$2:'Income'!$D$47,Income!$E$2:'Income'!$E$47,"&lt;="&amp;A55,Income!$F$2:'Income'!$F$47,"&gt;"&amp;A55,Income!$G$2:'Income'!$G$47,"=TRUE")</f>
        <v>26880</v>
      </c>
      <c r="T55" s="46">
        <f>P55*SUMIFS(Income!$D$2:'Income'!$D$47,Income!$E$2:'Income'!$E$47,"&lt;="&amp;A55,Income!$F$2:'Income'!$F$47,"&gt;"&amp;A55,Income!$G$2:'Income'!$G$47,"=FALSE")</f>
        <v>0</v>
      </c>
      <c r="U55" s="46">
        <f t="shared" si="15"/>
        <v>90750.000000000015</v>
      </c>
      <c r="V55" s="22">
        <f>MIN( MAX( (Overall!$B$65*AVERAGE(B55,L55)*C55*(1+N55)), MAX(U55-D55,0)), C55*(1+N55)) * Overall!$B$66</f>
        <v>0</v>
      </c>
      <c r="W55" s="22">
        <f t="shared" si="16"/>
        <v>26880</v>
      </c>
      <c r="X55" s="78">
        <f>IF(W55&lt;=Overall!$D$59*O55,Overall!$B$58,IF(W55&lt;=Overall!$D$61*O55,Overall!$B$60,Overall!$B$62))</f>
        <v>0.12</v>
      </c>
      <c r="Y55" s="22">
        <f t="shared" si="17"/>
        <v>3225.6</v>
      </c>
      <c r="Z55" s="10">
        <f t="shared" si="18"/>
        <v>0</v>
      </c>
    </row>
    <row r="56" spans="1:26" x14ac:dyDescent="0.3">
      <c r="A56">
        <f>Overall!$B$1+K56</f>
        <v>2079</v>
      </c>
      <c r="B56">
        <f>A56-Overall!$B$7</f>
        <v>109</v>
      </c>
      <c r="C56" s="104">
        <f>IF(K56&lt;=0,Overall!$B$89,H55)</f>
        <v>0</v>
      </c>
      <c r="D56" s="22">
        <f t="shared" si="10"/>
        <v>26880</v>
      </c>
      <c r="E56" s="22">
        <f t="shared" si="11"/>
        <v>93975.60000000002</v>
      </c>
      <c r="F56" s="22">
        <f t="shared" si="12"/>
        <v>67095.60000000002</v>
      </c>
      <c r="G56" s="22">
        <f t="shared" si="13"/>
        <v>0</v>
      </c>
      <c r="H56" s="13">
        <f t="shared" si="14"/>
        <v>0</v>
      </c>
      <c r="K56">
        <f t="shared" si="8"/>
        <v>54</v>
      </c>
      <c r="L56">
        <f>A56-Overall!$D$7</f>
        <v>109</v>
      </c>
      <c r="M56" s="80">
        <f>IF(Overall!$B$42&gt;0,Overall!$B$42,MIN(100,(MAX(20,120-B56)))/100)</f>
        <v>0.2</v>
      </c>
      <c r="N56" s="10">
        <f>((1+(Overall!$D$43*M56+Overall!$D$44*(1-M56))) / (1+Overall!$B$45-Overall!$D$45)) -1</f>
        <v>1.6585365853658551E-2</v>
      </c>
      <c r="O56" s="1">
        <f>POWER(1+Overall!$D$45,$K56+1)</f>
        <v>1</v>
      </c>
      <c r="P56" s="1">
        <f>1/POWER((1+Overall!$B$45-Overall!$D$45),$K56+1)</f>
        <v>0.25715051797539623</v>
      </c>
      <c r="Q56" s="104">
        <f>O56*SUMIFS(Expenses!$D$4:'Expenses'!$D$70,Expenses!$E$4:'Expenses'!$E$70,"&lt;="&amp;A56,Expenses!$F$4:'Expenses'!$F$70,"&gt;"&amp;A56,Expenses!$G$4:'Expenses'!$G$70,"=TRUE")*(1+Overall!$B$98)</f>
        <v>90750.000000000015</v>
      </c>
      <c r="R56" s="104">
        <f>P56*SUMIFS(Expenses!$D$4:'Expenses'!$D$70,Expenses!$E$4:'Expenses'!$E$70,"&lt;="&amp;A56,Expenses!$F$4:'Expenses'!$F$70,"&gt;"&amp;A56,Expenses!$G$4:'Expenses'!$G$70,"=FALSE")</f>
        <v>0</v>
      </c>
      <c r="S56" s="46">
        <f>O56*SUMIFS(Income!$D$2:'Income'!$D$47,Income!$E$2:'Income'!$E$47,"&lt;="&amp;A56,Income!$F$2:'Income'!$F$47,"&gt;"&amp;A56,Income!$G$2:'Income'!$G$47,"=TRUE")</f>
        <v>26880</v>
      </c>
      <c r="T56" s="46">
        <f>P56*SUMIFS(Income!$D$2:'Income'!$D$47,Income!$E$2:'Income'!$E$47,"&lt;="&amp;A56,Income!$F$2:'Income'!$F$47,"&gt;"&amp;A56,Income!$G$2:'Income'!$G$47,"=FALSE")</f>
        <v>0</v>
      </c>
      <c r="U56" s="46">
        <f t="shared" si="15"/>
        <v>90750.000000000015</v>
      </c>
      <c r="V56" s="22">
        <f>MIN( MAX( (Overall!$B$65*AVERAGE(B56,L56)*C56*(1+N56)), MAX(U56-D56,0)), C56*(1+N56)) * Overall!$B$66</f>
        <v>0</v>
      </c>
      <c r="W56" s="22">
        <f t="shared" si="16"/>
        <v>26880</v>
      </c>
      <c r="X56" s="78">
        <f>IF(W56&lt;=Overall!$D$59*O56,Overall!$B$58,IF(W56&lt;=Overall!$D$61*O56,Overall!$B$60,Overall!$B$62))</f>
        <v>0.12</v>
      </c>
      <c r="Y56" s="22">
        <f t="shared" si="17"/>
        <v>3225.6</v>
      </c>
      <c r="Z56" s="10">
        <f t="shared" si="18"/>
        <v>0</v>
      </c>
    </row>
    <row r="57" spans="1:26" x14ac:dyDescent="0.3">
      <c r="A57">
        <f>Overall!$B$1+K57</f>
        <v>2080</v>
      </c>
      <c r="B57">
        <f>A57-Overall!$B$7</f>
        <v>110</v>
      </c>
      <c r="C57" s="104">
        <f>IF(K57&lt;=0,Overall!$B$89,H56)</f>
        <v>0</v>
      </c>
      <c r="D57" s="22">
        <f t="shared" si="10"/>
        <v>26880</v>
      </c>
      <c r="E57" s="22">
        <f t="shared" si="11"/>
        <v>93975.60000000002</v>
      </c>
      <c r="F57" s="22">
        <f t="shared" si="12"/>
        <v>67095.60000000002</v>
      </c>
      <c r="G57" s="22">
        <f t="shared" si="13"/>
        <v>0</v>
      </c>
      <c r="H57" s="13">
        <f t="shared" si="14"/>
        <v>0</v>
      </c>
      <c r="K57">
        <f t="shared" si="8"/>
        <v>55</v>
      </c>
      <c r="L57">
        <f>A57-Overall!$D$7</f>
        <v>110</v>
      </c>
      <c r="M57" s="80">
        <f>IF(Overall!$B$42&gt;0,Overall!$B$42,MIN(100,(MAX(20,120-B57)))/100)</f>
        <v>0.2</v>
      </c>
      <c r="N57" s="10">
        <f>((1+(Overall!$D$43*M57+Overall!$D$44*(1-M57))) / (1+Overall!$B$45-Overall!$D$45)) -1</f>
        <v>1.6585365853658551E-2</v>
      </c>
      <c r="O57" s="1">
        <f>POWER(1+Overall!$D$45,$K57+1)</f>
        <v>1</v>
      </c>
      <c r="P57" s="1">
        <f>1/POWER((1+Overall!$B$45-Overall!$D$45),$K57+1)</f>
        <v>0.25087855412233784</v>
      </c>
      <c r="Q57" s="104">
        <f>O57*SUMIFS(Expenses!$D$4:'Expenses'!$D$70,Expenses!$E$4:'Expenses'!$E$70,"&lt;="&amp;A57,Expenses!$F$4:'Expenses'!$F$70,"&gt;"&amp;A57,Expenses!$G$4:'Expenses'!$G$70,"=TRUE")*(1+Overall!$B$98)</f>
        <v>90750.000000000015</v>
      </c>
      <c r="R57" s="104">
        <f>P57*SUMIFS(Expenses!$D$4:'Expenses'!$D$70,Expenses!$E$4:'Expenses'!$E$70,"&lt;="&amp;A57,Expenses!$F$4:'Expenses'!$F$70,"&gt;"&amp;A57,Expenses!$G$4:'Expenses'!$G$70,"=FALSE")</f>
        <v>0</v>
      </c>
      <c r="S57" s="46">
        <f>O57*SUMIFS(Income!$D$2:'Income'!$D$47,Income!$E$2:'Income'!$E$47,"&lt;="&amp;A57,Income!$F$2:'Income'!$F$47,"&gt;"&amp;A57,Income!$G$2:'Income'!$G$47,"=TRUE")</f>
        <v>26880</v>
      </c>
      <c r="T57" s="46">
        <f>P57*SUMIFS(Income!$D$2:'Income'!$D$47,Income!$E$2:'Income'!$E$47,"&lt;="&amp;A57,Income!$F$2:'Income'!$F$47,"&gt;"&amp;A57,Income!$G$2:'Income'!$G$47,"=FALSE")</f>
        <v>0</v>
      </c>
      <c r="U57" s="46">
        <f t="shared" si="15"/>
        <v>90750.000000000015</v>
      </c>
      <c r="V57" s="22">
        <f>MIN( MAX( (Overall!$B$65*AVERAGE(B57,L57)*C57*(1+N57)), MAX(U57-D57,0)), C57*(1+N57)) * Overall!$B$66</f>
        <v>0</v>
      </c>
      <c r="W57" s="22">
        <f t="shared" si="16"/>
        <v>26880</v>
      </c>
      <c r="X57" s="78">
        <f>IF(W57&lt;=Overall!$D$59*O57,Overall!$B$58,IF(W57&lt;=Overall!$D$61*O57,Overall!$B$60,Overall!$B$62))</f>
        <v>0.12</v>
      </c>
      <c r="Y57" s="22">
        <f t="shared" si="17"/>
        <v>3225.6</v>
      </c>
      <c r="Z57" s="10">
        <f t="shared" si="18"/>
        <v>0</v>
      </c>
    </row>
    <row r="58" spans="1:26" x14ac:dyDescent="0.3">
      <c r="A58">
        <f>Overall!$B$1+K58</f>
        <v>2081</v>
      </c>
      <c r="B58">
        <f>A58-Overall!$B$7</f>
        <v>111</v>
      </c>
      <c r="C58" s="104">
        <f>IF(K58&lt;=0,Overall!$B$89,H57)</f>
        <v>0</v>
      </c>
      <c r="D58" s="22">
        <f t="shared" si="10"/>
        <v>26880</v>
      </c>
      <c r="E58" s="22">
        <f t="shared" si="11"/>
        <v>93975.60000000002</v>
      </c>
      <c r="F58" s="22">
        <f t="shared" si="12"/>
        <v>67095.60000000002</v>
      </c>
      <c r="G58" s="22">
        <f t="shared" si="13"/>
        <v>0</v>
      </c>
      <c r="H58" s="13">
        <f t="shared" si="14"/>
        <v>0</v>
      </c>
      <c r="K58">
        <f t="shared" si="8"/>
        <v>56</v>
      </c>
      <c r="L58">
        <f>A58-Overall!$D$7</f>
        <v>111</v>
      </c>
      <c r="M58" s="80">
        <f>IF(Overall!$B$42&gt;0,Overall!$B$42,MIN(100,(MAX(20,120-B58)))/100)</f>
        <v>0.2</v>
      </c>
      <c r="N58" s="10">
        <f>((1+(Overall!$D$43*M58+Overall!$D$44*(1-M58))) / (1+Overall!$B$45-Overall!$D$45)) -1</f>
        <v>1.6585365853658551E-2</v>
      </c>
      <c r="O58" s="1">
        <f>POWER(1+Overall!$D$45,$K58+1)</f>
        <v>1</v>
      </c>
      <c r="P58" s="1">
        <f>1/POWER((1+Overall!$B$45-Overall!$D$45),$K58+1)</f>
        <v>0.24475956499740278</v>
      </c>
      <c r="Q58" s="104">
        <f>O58*SUMIFS(Expenses!$D$4:'Expenses'!$D$70,Expenses!$E$4:'Expenses'!$E$70,"&lt;="&amp;A58,Expenses!$F$4:'Expenses'!$F$70,"&gt;"&amp;A58,Expenses!$G$4:'Expenses'!$G$70,"=TRUE")*(1+Overall!$B$98)</f>
        <v>90750.000000000015</v>
      </c>
      <c r="R58" s="104">
        <f>P58*SUMIFS(Expenses!$D$4:'Expenses'!$D$70,Expenses!$E$4:'Expenses'!$E$70,"&lt;="&amp;A58,Expenses!$F$4:'Expenses'!$F$70,"&gt;"&amp;A58,Expenses!$G$4:'Expenses'!$G$70,"=FALSE")</f>
        <v>0</v>
      </c>
      <c r="S58" s="46">
        <f>O58*SUMIFS(Income!$D$2:'Income'!$D$47,Income!$E$2:'Income'!$E$47,"&lt;="&amp;A58,Income!$F$2:'Income'!$F$47,"&gt;"&amp;A58,Income!$G$2:'Income'!$G$47,"=TRUE")</f>
        <v>26880</v>
      </c>
      <c r="T58" s="46">
        <f>P58*SUMIFS(Income!$D$2:'Income'!$D$47,Income!$E$2:'Income'!$E$47,"&lt;="&amp;A58,Income!$F$2:'Income'!$F$47,"&gt;"&amp;A58,Income!$G$2:'Income'!$G$47,"=FALSE")</f>
        <v>0</v>
      </c>
      <c r="U58" s="46">
        <f t="shared" si="15"/>
        <v>90750.000000000015</v>
      </c>
      <c r="V58" s="22">
        <f>MIN( MAX( (Overall!$B$65*AVERAGE(B58,L58)*C58*(1+N58)), MAX(U58-D58,0)), C58*(1+N58)) * Overall!$B$66</f>
        <v>0</v>
      </c>
      <c r="W58" s="22">
        <f t="shared" si="16"/>
        <v>26880</v>
      </c>
      <c r="X58" s="78">
        <f>IF(W58&lt;=Overall!$D$59*O58,Overall!$B$58,IF(W58&lt;=Overall!$D$61*O58,Overall!$B$60,Overall!$B$62))</f>
        <v>0.12</v>
      </c>
      <c r="Y58" s="22">
        <f t="shared" si="17"/>
        <v>3225.6</v>
      </c>
      <c r="Z58" s="10">
        <f t="shared" si="18"/>
        <v>0</v>
      </c>
    </row>
    <row r="59" spans="1:26" x14ac:dyDescent="0.3">
      <c r="A59">
        <f>Overall!$B$1+K59</f>
        <v>2082</v>
      </c>
      <c r="B59">
        <f>A59-Overall!$B$7</f>
        <v>112</v>
      </c>
      <c r="C59" s="104">
        <f>IF(K59&lt;=0,Overall!$B$89,H58)</f>
        <v>0</v>
      </c>
      <c r="D59" s="22">
        <f t="shared" si="10"/>
        <v>26880</v>
      </c>
      <c r="E59" s="22">
        <f t="shared" si="11"/>
        <v>93975.60000000002</v>
      </c>
      <c r="F59" s="22">
        <f t="shared" si="12"/>
        <v>67095.60000000002</v>
      </c>
      <c r="G59" s="22">
        <f t="shared" si="13"/>
        <v>0</v>
      </c>
      <c r="H59" s="13">
        <f t="shared" si="14"/>
        <v>0</v>
      </c>
      <c r="K59">
        <f t="shared" si="8"/>
        <v>57</v>
      </c>
      <c r="L59">
        <f>A59-Overall!$D$7</f>
        <v>112</v>
      </c>
      <c r="M59" s="80">
        <f>IF(Overall!$B$42&gt;0,Overall!$B$42,MIN(100,(MAX(20,120-B59)))/100)</f>
        <v>0.2</v>
      </c>
      <c r="N59" s="10">
        <f>((1+(Overall!$D$43*M59+Overall!$D$44*(1-M59))) / (1+Overall!$B$45-Overall!$D$45)) -1</f>
        <v>1.6585365853658551E-2</v>
      </c>
      <c r="O59" s="1">
        <f>POWER(1+Overall!$D$45,$K59+1)</f>
        <v>1</v>
      </c>
      <c r="P59" s="1">
        <f>1/POWER((1+Overall!$B$45-Overall!$D$45),$K59+1)</f>
        <v>0.23878981950966124</v>
      </c>
      <c r="Q59" s="104">
        <f>O59*SUMIFS(Expenses!$D$4:'Expenses'!$D$70,Expenses!$E$4:'Expenses'!$E$70,"&lt;="&amp;A59,Expenses!$F$4:'Expenses'!$F$70,"&gt;"&amp;A59,Expenses!$G$4:'Expenses'!$G$70,"=TRUE")*(1+Overall!$B$98)</f>
        <v>90750.000000000015</v>
      </c>
      <c r="R59" s="104">
        <f>P59*SUMIFS(Expenses!$D$4:'Expenses'!$D$70,Expenses!$E$4:'Expenses'!$E$70,"&lt;="&amp;A59,Expenses!$F$4:'Expenses'!$F$70,"&gt;"&amp;A59,Expenses!$G$4:'Expenses'!$G$70,"=FALSE")</f>
        <v>0</v>
      </c>
      <c r="S59" s="46">
        <f>O59*SUMIFS(Income!$D$2:'Income'!$D$47,Income!$E$2:'Income'!$E$47,"&lt;="&amp;A59,Income!$F$2:'Income'!$F$47,"&gt;"&amp;A59,Income!$G$2:'Income'!$G$47,"=TRUE")</f>
        <v>26880</v>
      </c>
      <c r="T59" s="46">
        <f>P59*SUMIFS(Income!$D$2:'Income'!$D$47,Income!$E$2:'Income'!$E$47,"&lt;="&amp;A59,Income!$F$2:'Income'!$F$47,"&gt;"&amp;A59,Income!$G$2:'Income'!$G$47,"=FALSE")</f>
        <v>0</v>
      </c>
      <c r="U59" s="46">
        <f t="shared" si="15"/>
        <v>90750.000000000015</v>
      </c>
      <c r="V59" s="22">
        <f>MIN( MAX( (Overall!$B$65*AVERAGE(B59,L59)*C59*(1+N59)), MAX(U59-D59,0)), C59*(1+N59)) * Overall!$B$66</f>
        <v>0</v>
      </c>
      <c r="W59" s="22">
        <f t="shared" si="16"/>
        <v>26880</v>
      </c>
      <c r="X59" s="78">
        <f>IF(W59&lt;=Overall!$D$59*O59,Overall!$B$58,IF(W59&lt;=Overall!$D$61*O59,Overall!$B$60,Overall!$B$62))</f>
        <v>0.12</v>
      </c>
      <c r="Y59" s="22">
        <f t="shared" si="17"/>
        <v>3225.6</v>
      </c>
      <c r="Z59" s="10">
        <f t="shared" si="18"/>
        <v>0</v>
      </c>
    </row>
    <row r="60" spans="1:26" x14ac:dyDescent="0.3">
      <c r="A60">
        <f>Overall!$B$1+K60</f>
        <v>2083</v>
      </c>
      <c r="B60">
        <f>A60-Overall!$B$7</f>
        <v>113</v>
      </c>
      <c r="C60" s="104">
        <f>IF(K60&lt;=0,Overall!$B$89,H59)</f>
        <v>0</v>
      </c>
      <c r="D60" s="22">
        <f t="shared" si="10"/>
        <v>26880</v>
      </c>
      <c r="E60" s="22">
        <f t="shared" si="11"/>
        <v>93975.60000000002</v>
      </c>
      <c r="F60" s="22">
        <f t="shared" si="12"/>
        <v>67095.60000000002</v>
      </c>
      <c r="G60" s="22">
        <f t="shared" si="13"/>
        <v>0</v>
      </c>
      <c r="H60" s="13">
        <f t="shared" si="14"/>
        <v>0</v>
      </c>
      <c r="K60">
        <f t="shared" si="8"/>
        <v>58</v>
      </c>
      <c r="L60">
        <f>A60-Overall!$D$7</f>
        <v>113</v>
      </c>
      <c r="M60" s="80">
        <f>IF(Overall!$B$42&gt;0,Overall!$B$42,MIN(100,(MAX(20,120-B60)))/100)</f>
        <v>0.2</v>
      </c>
      <c r="N60" s="10">
        <f>((1+(Overall!$D$43*M60+Overall!$D$44*(1-M60))) / (1+Overall!$B$45-Overall!$D$45)) -1</f>
        <v>1.6585365853658551E-2</v>
      </c>
      <c r="O60" s="1">
        <f>POWER(1+Overall!$D$45,$K60+1)</f>
        <v>1</v>
      </c>
      <c r="P60" s="1">
        <f>1/POWER((1+Overall!$B$45-Overall!$D$45),$K60+1)</f>
        <v>0.23296567757040124</v>
      </c>
      <c r="Q60" s="104">
        <f>O60*SUMIFS(Expenses!$D$4:'Expenses'!$D$70,Expenses!$E$4:'Expenses'!$E$70,"&lt;="&amp;A60,Expenses!$F$4:'Expenses'!$F$70,"&gt;"&amp;A60,Expenses!$G$4:'Expenses'!$G$70,"=TRUE")*(1+Overall!$B$98)</f>
        <v>90750.000000000015</v>
      </c>
      <c r="R60" s="104">
        <f>P60*SUMIFS(Expenses!$D$4:'Expenses'!$D$70,Expenses!$E$4:'Expenses'!$E$70,"&lt;="&amp;A60,Expenses!$F$4:'Expenses'!$F$70,"&gt;"&amp;A60,Expenses!$G$4:'Expenses'!$G$70,"=FALSE")</f>
        <v>0</v>
      </c>
      <c r="S60" s="46">
        <f>O60*SUMIFS(Income!$D$2:'Income'!$D$47,Income!$E$2:'Income'!$E$47,"&lt;="&amp;A60,Income!$F$2:'Income'!$F$47,"&gt;"&amp;A60,Income!$G$2:'Income'!$G$47,"=TRUE")</f>
        <v>26880</v>
      </c>
      <c r="T60" s="46">
        <f>P60*SUMIFS(Income!$D$2:'Income'!$D$47,Income!$E$2:'Income'!$E$47,"&lt;="&amp;A60,Income!$F$2:'Income'!$F$47,"&gt;"&amp;A60,Income!$G$2:'Income'!$G$47,"=FALSE")</f>
        <v>0</v>
      </c>
      <c r="U60" s="46">
        <f t="shared" si="15"/>
        <v>90750.000000000015</v>
      </c>
      <c r="V60" s="22">
        <f>MIN( MAX( (Overall!$B$65*AVERAGE(B60,L60)*C60*(1+N60)), MAX(U60-D60,0)), C60*(1+N60)) * Overall!$B$66</f>
        <v>0</v>
      </c>
      <c r="W60" s="22">
        <f t="shared" si="16"/>
        <v>26880</v>
      </c>
      <c r="X60" s="78">
        <f>IF(W60&lt;=Overall!$D$59*O60,Overall!$B$58,IF(W60&lt;=Overall!$D$61*O60,Overall!$B$60,Overall!$B$62))</f>
        <v>0.12</v>
      </c>
      <c r="Y60" s="22">
        <f t="shared" si="17"/>
        <v>3225.6</v>
      </c>
      <c r="Z60" s="10">
        <f t="shared" si="18"/>
        <v>0</v>
      </c>
    </row>
    <row r="61" spans="1:26" x14ac:dyDescent="0.3">
      <c r="A61">
        <f>Overall!$B$1+K61</f>
        <v>2084</v>
      </c>
      <c r="B61">
        <f>A61-Overall!$B$7</f>
        <v>114</v>
      </c>
      <c r="C61" s="104">
        <f>IF(K61&lt;=0,Overall!$B$89,H60)</f>
        <v>0</v>
      </c>
      <c r="D61" s="22">
        <f t="shared" si="10"/>
        <v>26880</v>
      </c>
      <c r="E61" s="22">
        <f t="shared" si="11"/>
        <v>93975.60000000002</v>
      </c>
      <c r="F61" s="22">
        <f t="shared" si="12"/>
        <v>67095.60000000002</v>
      </c>
      <c r="G61" s="22">
        <f t="shared" si="13"/>
        <v>0</v>
      </c>
      <c r="H61" s="13">
        <f t="shared" si="14"/>
        <v>0</v>
      </c>
      <c r="K61">
        <f t="shared" si="8"/>
        <v>59</v>
      </c>
      <c r="L61">
        <f>A61-Overall!$D$7</f>
        <v>114</v>
      </c>
      <c r="M61" s="80">
        <f>IF(Overall!$B$42&gt;0,Overall!$B$42,MIN(100,(MAX(20,120-B61)))/100)</f>
        <v>0.2</v>
      </c>
      <c r="N61" s="10">
        <f>((1+(Overall!$D$43*M61+Overall!$D$44*(1-M61))) / (1+Overall!$B$45-Overall!$D$45)) -1</f>
        <v>1.6585365853658551E-2</v>
      </c>
      <c r="O61" s="1">
        <f>POWER(1+Overall!$D$45,$K61+1)</f>
        <v>1</v>
      </c>
      <c r="P61" s="1">
        <f>1/POWER((1+Overall!$B$45-Overall!$D$45),$K61+1)</f>
        <v>0.2272835878735622</v>
      </c>
      <c r="Q61" s="104">
        <f>O61*SUMIFS(Expenses!$D$4:'Expenses'!$D$70,Expenses!$E$4:'Expenses'!$E$70,"&lt;="&amp;A61,Expenses!$F$4:'Expenses'!$F$70,"&gt;"&amp;A61,Expenses!$G$4:'Expenses'!$G$70,"=TRUE")*(1+Overall!$B$98)</f>
        <v>90750.000000000015</v>
      </c>
      <c r="R61" s="104">
        <f>P61*SUMIFS(Expenses!$D$4:'Expenses'!$D$70,Expenses!$E$4:'Expenses'!$E$70,"&lt;="&amp;A61,Expenses!$F$4:'Expenses'!$F$70,"&gt;"&amp;A61,Expenses!$G$4:'Expenses'!$G$70,"=FALSE")</f>
        <v>0</v>
      </c>
      <c r="S61" s="46">
        <f>O61*SUMIFS(Income!$D$2:'Income'!$D$47,Income!$E$2:'Income'!$E$47,"&lt;="&amp;A61,Income!$F$2:'Income'!$F$47,"&gt;"&amp;A61,Income!$G$2:'Income'!$G$47,"=TRUE")</f>
        <v>26880</v>
      </c>
      <c r="T61" s="46">
        <f>P61*SUMIFS(Income!$D$2:'Income'!$D$47,Income!$E$2:'Income'!$E$47,"&lt;="&amp;A61,Income!$F$2:'Income'!$F$47,"&gt;"&amp;A61,Income!$G$2:'Income'!$G$47,"=FALSE")</f>
        <v>0</v>
      </c>
      <c r="U61" s="46">
        <f t="shared" si="15"/>
        <v>90750.000000000015</v>
      </c>
      <c r="V61" s="22">
        <f>MIN( MAX( (Overall!$B$65*AVERAGE(B61,L61)*C61*(1+N61)), MAX(U61-D61,0)), C61*(1+N61)) * Overall!$B$66</f>
        <v>0</v>
      </c>
      <c r="W61" s="22">
        <f t="shared" si="16"/>
        <v>26880</v>
      </c>
      <c r="X61" s="78">
        <f>IF(W61&lt;=Overall!$D$59*O61,Overall!$B$58,IF(W61&lt;=Overall!$D$61*O61,Overall!$B$60,Overall!$B$62))</f>
        <v>0.12</v>
      </c>
      <c r="Y61" s="22">
        <f t="shared" si="17"/>
        <v>3225.6</v>
      </c>
      <c r="Z61" s="10">
        <f t="shared" si="18"/>
        <v>0</v>
      </c>
    </row>
    <row r="62" spans="1:26" x14ac:dyDescent="0.3">
      <c r="A62">
        <f>Overall!$B$1+K62</f>
        <v>2085</v>
      </c>
      <c r="B62">
        <f>A62-Overall!$B$7</f>
        <v>115</v>
      </c>
      <c r="C62" s="104">
        <f>IF(K62&lt;=0,Overall!$B$89,H61)</f>
        <v>0</v>
      </c>
      <c r="D62" s="22">
        <f t="shared" si="10"/>
        <v>26880</v>
      </c>
      <c r="E62" s="22">
        <f t="shared" si="11"/>
        <v>93975.60000000002</v>
      </c>
      <c r="F62" s="22">
        <f t="shared" si="12"/>
        <v>67095.60000000002</v>
      </c>
      <c r="G62" s="22">
        <f t="shared" si="13"/>
        <v>0</v>
      </c>
      <c r="H62" s="13">
        <f t="shared" si="14"/>
        <v>0</v>
      </c>
      <c r="K62">
        <f t="shared" si="8"/>
        <v>60</v>
      </c>
      <c r="L62">
        <f>A62-Overall!$D$7</f>
        <v>115</v>
      </c>
      <c r="M62" s="80">
        <f>IF(Overall!$B$42&gt;0,Overall!$B$42,MIN(100,(MAX(20,120-B62)))/100)</f>
        <v>0.2</v>
      </c>
      <c r="N62" s="10">
        <f>((1+(Overall!$D$43*M62+Overall!$D$44*(1-M62))) / (1+Overall!$B$45-Overall!$D$45)) -1</f>
        <v>1.6585365853658551E-2</v>
      </c>
      <c r="O62" s="1">
        <f>POWER(1+Overall!$D$45,$K62+1)</f>
        <v>1</v>
      </c>
      <c r="P62" s="1">
        <f>1/POWER((1+Overall!$B$45-Overall!$D$45),$K62+1)</f>
        <v>0.22174008573030457</v>
      </c>
      <c r="Q62" s="104">
        <f>O62*SUMIFS(Expenses!$D$4:'Expenses'!$D$70,Expenses!$E$4:'Expenses'!$E$70,"&lt;="&amp;A62,Expenses!$F$4:'Expenses'!$F$70,"&gt;"&amp;A62,Expenses!$G$4:'Expenses'!$G$70,"=TRUE")*(1+Overall!$B$98)</f>
        <v>90750.000000000015</v>
      </c>
      <c r="R62" s="104">
        <f>P62*SUMIFS(Expenses!$D$4:'Expenses'!$D$70,Expenses!$E$4:'Expenses'!$E$70,"&lt;="&amp;A62,Expenses!$F$4:'Expenses'!$F$70,"&gt;"&amp;A62,Expenses!$G$4:'Expenses'!$G$70,"=FALSE")</f>
        <v>0</v>
      </c>
      <c r="S62" s="46">
        <f>O62*SUMIFS(Income!$D$2:'Income'!$D$47,Income!$E$2:'Income'!$E$47,"&lt;="&amp;A62,Income!$F$2:'Income'!$F$47,"&gt;"&amp;A62,Income!$G$2:'Income'!$G$47,"=TRUE")</f>
        <v>26880</v>
      </c>
      <c r="T62" s="46">
        <f>P62*SUMIFS(Income!$D$2:'Income'!$D$47,Income!$E$2:'Income'!$E$47,"&lt;="&amp;A62,Income!$F$2:'Income'!$F$47,"&gt;"&amp;A62,Income!$G$2:'Income'!$G$47,"=FALSE")</f>
        <v>0</v>
      </c>
      <c r="U62" s="46">
        <f t="shared" si="15"/>
        <v>90750.000000000015</v>
      </c>
      <c r="V62" s="22">
        <f>MIN( MAX( (Overall!$B$65*AVERAGE(B62,L62)*C62*(1+N62)), MAX(U62-D62,0)), C62*(1+N62)) * Overall!$B$66</f>
        <v>0</v>
      </c>
      <c r="W62" s="22">
        <f t="shared" si="16"/>
        <v>26880</v>
      </c>
      <c r="X62" s="78">
        <f>IF(W62&lt;=Overall!$D$59*O62,Overall!$B$58,IF(W62&lt;=Overall!$D$61*O62,Overall!$B$60,Overall!$B$62))</f>
        <v>0.12</v>
      </c>
      <c r="Y62" s="22">
        <f t="shared" si="17"/>
        <v>3225.6</v>
      </c>
      <c r="Z62" s="10">
        <f t="shared" si="18"/>
        <v>0</v>
      </c>
    </row>
    <row r="63" spans="1:26" x14ac:dyDescent="0.3">
      <c r="A63">
        <f>Overall!$B$1+K63</f>
        <v>2086</v>
      </c>
      <c r="B63">
        <f>A63-Overall!$B$7</f>
        <v>116</v>
      </c>
      <c r="C63" s="104">
        <f>IF(K63&lt;=0,Overall!$B$89,H62)</f>
        <v>0</v>
      </c>
      <c r="D63" s="22">
        <f t="shared" si="10"/>
        <v>26880</v>
      </c>
      <c r="E63" s="22">
        <f t="shared" si="11"/>
        <v>93975.60000000002</v>
      </c>
      <c r="F63" s="22">
        <f t="shared" si="12"/>
        <v>67095.60000000002</v>
      </c>
      <c r="G63" s="22">
        <f t="shared" si="13"/>
        <v>0</v>
      </c>
      <c r="H63" s="13">
        <f t="shared" si="14"/>
        <v>0</v>
      </c>
      <c r="K63">
        <f t="shared" si="8"/>
        <v>61</v>
      </c>
      <c r="L63">
        <f>A63-Overall!$D$7</f>
        <v>116</v>
      </c>
      <c r="M63" s="80">
        <f>IF(Overall!$B$42&gt;0,Overall!$B$42,MIN(100,(MAX(20,120-B63)))/100)</f>
        <v>0.2</v>
      </c>
      <c r="N63" s="10">
        <f>((1+(Overall!$D$43*M63+Overall!$D$44*(1-M63))) / (1+Overall!$B$45-Overall!$D$45)) -1</f>
        <v>1.6585365853658551E-2</v>
      </c>
      <c r="O63" s="1">
        <f>POWER(1+Overall!$D$45,$K63+1)</f>
        <v>1</v>
      </c>
      <c r="P63" s="1">
        <f>1/POWER((1+Overall!$B$45-Overall!$D$45),$K63+1)</f>
        <v>0.21633179095639476</v>
      </c>
      <c r="Q63" s="104">
        <f>O63*SUMIFS(Expenses!$D$4:'Expenses'!$D$70,Expenses!$E$4:'Expenses'!$E$70,"&lt;="&amp;A63,Expenses!$F$4:'Expenses'!$F$70,"&gt;"&amp;A63,Expenses!$G$4:'Expenses'!$G$70,"=TRUE")*(1+Overall!$B$98)</f>
        <v>90750.000000000015</v>
      </c>
      <c r="R63" s="104">
        <f>P63*SUMIFS(Expenses!$D$4:'Expenses'!$D$70,Expenses!$E$4:'Expenses'!$E$70,"&lt;="&amp;A63,Expenses!$F$4:'Expenses'!$F$70,"&gt;"&amp;A63,Expenses!$G$4:'Expenses'!$G$70,"=FALSE")</f>
        <v>0</v>
      </c>
      <c r="S63" s="46">
        <f>O63*SUMIFS(Income!$D$2:'Income'!$D$47,Income!$E$2:'Income'!$E$47,"&lt;="&amp;A63,Income!$F$2:'Income'!$F$47,"&gt;"&amp;A63,Income!$G$2:'Income'!$G$47,"=TRUE")</f>
        <v>26880</v>
      </c>
      <c r="T63" s="46">
        <f>P63*SUMIFS(Income!$D$2:'Income'!$D$47,Income!$E$2:'Income'!$E$47,"&lt;="&amp;A63,Income!$F$2:'Income'!$F$47,"&gt;"&amp;A63,Income!$G$2:'Income'!$G$47,"=FALSE")</f>
        <v>0</v>
      </c>
      <c r="U63" s="46">
        <f t="shared" si="15"/>
        <v>90750.000000000015</v>
      </c>
      <c r="V63" s="22">
        <f>MIN( MAX( (Overall!$B$65*AVERAGE(B63,L63)*C63*(1+N63)), MAX(U63-D63,0)), C63*(1+N63)) * Overall!$B$66</f>
        <v>0</v>
      </c>
      <c r="W63" s="22">
        <f t="shared" si="16"/>
        <v>26880</v>
      </c>
      <c r="X63" s="78">
        <f>IF(W63&lt;=Overall!$D$59*O63,Overall!$B$58,IF(W63&lt;=Overall!$D$61*O63,Overall!$B$60,Overall!$B$62))</f>
        <v>0.12</v>
      </c>
      <c r="Y63" s="22">
        <f t="shared" si="17"/>
        <v>3225.6</v>
      </c>
      <c r="Z63" s="10">
        <f t="shared" si="18"/>
        <v>0</v>
      </c>
    </row>
    <row r="64" spans="1:26" x14ac:dyDescent="0.3">
      <c r="A64">
        <f>Overall!$B$1+K64</f>
        <v>2087</v>
      </c>
      <c r="B64">
        <f>A64-Overall!$B$7</f>
        <v>117</v>
      </c>
      <c r="C64" s="104">
        <f>IF(K64&lt;=0,Overall!$B$89,H63)</f>
        <v>0</v>
      </c>
      <c r="D64" s="22">
        <f t="shared" si="10"/>
        <v>26880</v>
      </c>
      <c r="E64" s="22">
        <f t="shared" si="11"/>
        <v>93975.60000000002</v>
      </c>
      <c r="F64" s="22">
        <f t="shared" si="12"/>
        <v>67095.60000000002</v>
      </c>
      <c r="G64" s="22">
        <f t="shared" si="13"/>
        <v>0</v>
      </c>
      <c r="H64" s="13">
        <f t="shared" si="14"/>
        <v>0</v>
      </c>
      <c r="K64">
        <f t="shared" si="8"/>
        <v>62</v>
      </c>
      <c r="L64">
        <f>A64-Overall!$D$7</f>
        <v>117</v>
      </c>
      <c r="M64" s="80">
        <f>IF(Overall!$B$42&gt;0,Overall!$B$42,MIN(100,(MAX(20,120-B64)))/100)</f>
        <v>0.2</v>
      </c>
      <c r="N64" s="10">
        <f>((1+(Overall!$D$43*M64+Overall!$D$44*(1-M64))) / (1+Overall!$B$45-Overall!$D$45)) -1</f>
        <v>1.6585365853658551E-2</v>
      </c>
      <c r="O64" s="1">
        <f>POWER(1+Overall!$D$45,$K64+1)</f>
        <v>1</v>
      </c>
      <c r="P64" s="1">
        <f>1/POWER((1+Overall!$B$45-Overall!$D$45),$K64+1)</f>
        <v>0.21105540581111676</v>
      </c>
      <c r="Q64" s="104">
        <f>O64*SUMIFS(Expenses!$D$4:'Expenses'!$D$70,Expenses!$E$4:'Expenses'!$E$70,"&lt;="&amp;A64,Expenses!$F$4:'Expenses'!$F$70,"&gt;"&amp;A64,Expenses!$G$4:'Expenses'!$G$70,"=TRUE")*(1+Overall!$B$98)</f>
        <v>90750.000000000015</v>
      </c>
      <c r="R64" s="104">
        <f>P64*SUMIFS(Expenses!$D$4:'Expenses'!$D$70,Expenses!$E$4:'Expenses'!$E$70,"&lt;="&amp;A64,Expenses!$F$4:'Expenses'!$F$70,"&gt;"&amp;A64,Expenses!$G$4:'Expenses'!$G$70,"=FALSE")</f>
        <v>0</v>
      </c>
      <c r="S64" s="46">
        <f>O64*SUMIFS(Income!$D$2:'Income'!$D$47,Income!$E$2:'Income'!$E$47,"&lt;="&amp;A64,Income!$F$2:'Income'!$F$47,"&gt;"&amp;A64,Income!$G$2:'Income'!$G$47,"=TRUE")</f>
        <v>26880</v>
      </c>
      <c r="T64" s="46">
        <f>P64*SUMIFS(Income!$D$2:'Income'!$D$47,Income!$E$2:'Income'!$E$47,"&lt;="&amp;A64,Income!$F$2:'Income'!$F$47,"&gt;"&amp;A64,Income!$G$2:'Income'!$G$47,"=FALSE")</f>
        <v>0</v>
      </c>
      <c r="U64" s="46">
        <f t="shared" si="15"/>
        <v>90750.000000000015</v>
      </c>
      <c r="V64" s="22">
        <f>MIN( MAX( (Overall!$B$65*AVERAGE(B64,L64)*C64*(1+N64)), MAX(U64-D64,0)), C64*(1+N64)) * Overall!$B$66</f>
        <v>0</v>
      </c>
      <c r="W64" s="22">
        <f t="shared" si="16"/>
        <v>26880</v>
      </c>
      <c r="X64" s="78">
        <f>IF(W64&lt;=Overall!$D$59*O64,Overall!$B$58,IF(W64&lt;=Overall!$D$61*O64,Overall!$B$60,Overall!$B$62))</f>
        <v>0.12</v>
      </c>
      <c r="Y64" s="22">
        <f t="shared" si="17"/>
        <v>3225.6</v>
      </c>
      <c r="Z64" s="10">
        <f t="shared" si="18"/>
        <v>0</v>
      </c>
    </row>
    <row r="65" spans="1:26" x14ac:dyDescent="0.3">
      <c r="A65">
        <f>Overall!$B$1+K65</f>
        <v>2088</v>
      </c>
      <c r="B65">
        <f>A65-Overall!$B$7</f>
        <v>118</v>
      </c>
      <c r="C65" s="104">
        <f>IF(K65&lt;=0,Overall!$B$89,H64)</f>
        <v>0</v>
      </c>
      <c r="D65" s="22">
        <f t="shared" si="10"/>
        <v>26880</v>
      </c>
      <c r="E65" s="22">
        <f t="shared" si="11"/>
        <v>93975.60000000002</v>
      </c>
      <c r="F65" s="22">
        <f t="shared" si="12"/>
        <v>67095.60000000002</v>
      </c>
      <c r="G65" s="22">
        <f t="shared" si="13"/>
        <v>0</v>
      </c>
      <c r="H65" s="13">
        <f t="shared" si="14"/>
        <v>0</v>
      </c>
      <c r="K65">
        <f t="shared" si="8"/>
        <v>63</v>
      </c>
      <c r="L65">
        <f>A65-Overall!$D$7</f>
        <v>118</v>
      </c>
      <c r="M65" s="80">
        <f>IF(Overall!$B$42&gt;0,Overall!$B$42,MIN(100,(MAX(20,120-B65)))/100)</f>
        <v>0.2</v>
      </c>
      <c r="N65" s="10">
        <f>((1+(Overall!$D$43*M65+Overall!$D$44*(1-M65))) / (1+Overall!$B$45-Overall!$D$45)) -1</f>
        <v>1.6585365853658551E-2</v>
      </c>
      <c r="O65" s="1">
        <f>POWER(1+Overall!$D$45,$K65+1)</f>
        <v>1</v>
      </c>
      <c r="P65" s="1">
        <f>1/POWER((1+Overall!$B$45-Overall!$D$45),$K65+1)</f>
        <v>0.20590771298645544</v>
      </c>
      <c r="Q65" s="104">
        <f>O65*SUMIFS(Expenses!$D$4:'Expenses'!$D$70,Expenses!$E$4:'Expenses'!$E$70,"&lt;="&amp;A65,Expenses!$F$4:'Expenses'!$F$70,"&gt;"&amp;A65,Expenses!$G$4:'Expenses'!$G$70,"=TRUE")*(1+Overall!$B$98)</f>
        <v>90750.000000000015</v>
      </c>
      <c r="R65" s="104">
        <f>P65*SUMIFS(Expenses!$D$4:'Expenses'!$D$70,Expenses!$E$4:'Expenses'!$E$70,"&lt;="&amp;A65,Expenses!$F$4:'Expenses'!$F$70,"&gt;"&amp;A65,Expenses!$G$4:'Expenses'!$G$70,"=FALSE")</f>
        <v>0</v>
      </c>
      <c r="S65" s="46">
        <f>O65*SUMIFS(Income!$D$2:'Income'!$D$47,Income!$E$2:'Income'!$E$47,"&lt;="&amp;A65,Income!$F$2:'Income'!$F$47,"&gt;"&amp;A65,Income!$G$2:'Income'!$G$47,"=TRUE")</f>
        <v>26880</v>
      </c>
      <c r="T65" s="46">
        <f>P65*SUMIFS(Income!$D$2:'Income'!$D$47,Income!$E$2:'Income'!$E$47,"&lt;="&amp;A65,Income!$F$2:'Income'!$F$47,"&gt;"&amp;A65,Income!$G$2:'Income'!$G$47,"=FALSE")</f>
        <v>0</v>
      </c>
      <c r="U65" s="46">
        <f t="shared" si="15"/>
        <v>90750.000000000015</v>
      </c>
      <c r="V65" s="22">
        <f>MIN( MAX( (Overall!$B$65*AVERAGE(B65,L65)*C65*(1+N65)), MAX(U65-D65,0)), C65*(1+N65)) * Overall!$B$66</f>
        <v>0</v>
      </c>
      <c r="W65" s="22">
        <f t="shared" si="16"/>
        <v>26880</v>
      </c>
      <c r="X65" s="78">
        <f>IF(W65&lt;=Overall!$D$59*O65,Overall!$B$58,IF(W65&lt;=Overall!$D$61*O65,Overall!$B$60,Overall!$B$62))</f>
        <v>0.12</v>
      </c>
      <c r="Y65" s="22">
        <f t="shared" si="17"/>
        <v>3225.6</v>
      </c>
      <c r="Z65" s="10">
        <f t="shared" si="18"/>
        <v>0</v>
      </c>
    </row>
    <row r="66" spans="1:26" x14ac:dyDescent="0.3">
      <c r="A66">
        <f>Overall!$B$1+K66</f>
        <v>2089</v>
      </c>
      <c r="B66">
        <f>A66-Overall!$B$7</f>
        <v>119</v>
      </c>
      <c r="C66" s="104">
        <f>IF(K66&lt;=0,Overall!$B$89,H65)</f>
        <v>0</v>
      </c>
      <c r="D66" s="22">
        <f t="shared" ref="D66:D100" si="19">S66+T66</f>
        <v>26880</v>
      </c>
      <c r="E66" s="22">
        <f t="shared" ref="E66:E100" si="20">U66+Y66</f>
        <v>93975.60000000002</v>
      </c>
      <c r="F66" s="22">
        <f t="shared" ref="F66:F97" si="21">IF(E66&lt;D66,0,E66-D66)</f>
        <v>67095.60000000002</v>
      </c>
      <c r="G66" s="22">
        <f t="shared" ref="G66:G100" si="22">IF(E66&lt;D66,D66-E66,0)</f>
        <v>0</v>
      </c>
      <c r="H66" s="13">
        <f t="shared" ref="H66:H97" si="23">MAX(0,C66*(1+N66)+G66-F66)</f>
        <v>0</v>
      </c>
      <c r="K66">
        <f t="shared" si="8"/>
        <v>64</v>
      </c>
      <c r="L66">
        <f>A66-Overall!$D$7</f>
        <v>119</v>
      </c>
      <c r="M66" s="80">
        <f>IF(Overall!$B$42&gt;0,Overall!$B$42,MIN(100,(MAX(20,120-B66)))/100)</f>
        <v>0.2</v>
      </c>
      <c r="N66" s="10">
        <f>((1+(Overall!$D$43*M66+Overall!$D$44*(1-M66))) / (1+Overall!$B$45-Overall!$D$45)) -1</f>
        <v>1.6585365853658551E-2</v>
      </c>
      <c r="O66" s="1">
        <f>POWER(1+Overall!$D$45,$K66+1)</f>
        <v>1</v>
      </c>
      <c r="P66" s="1">
        <f>1/POWER((1+Overall!$B$45-Overall!$D$45),$K66+1)</f>
        <v>0.20088557364532242</v>
      </c>
      <c r="Q66" s="104">
        <f>O66*SUMIFS(Expenses!$D$4:'Expenses'!$D$70,Expenses!$E$4:'Expenses'!$E$70,"&lt;="&amp;A66,Expenses!$F$4:'Expenses'!$F$70,"&gt;"&amp;A66,Expenses!$G$4:'Expenses'!$G$70,"=TRUE")*(1+Overall!$B$98)</f>
        <v>90750.000000000015</v>
      </c>
      <c r="R66" s="104">
        <f>P66*SUMIFS(Expenses!$D$4:'Expenses'!$D$70,Expenses!$E$4:'Expenses'!$E$70,"&lt;="&amp;A66,Expenses!$F$4:'Expenses'!$F$70,"&gt;"&amp;A66,Expenses!$G$4:'Expenses'!$G$70,"=FALSE")</f>
        <v>0</v>
      </c>
      <c r="S66" s="46">
        <f>O66*SUMIFS(Income!$D$2:'Income'!$D$47,Income!$E$2:'Income'!$E$47,"&lt;="&amp;A66,Income!$F$2:'Income'!$F$47,"&gt;"&amp;A66,Income!$G$2:'Income'!$G$47,"=TRUE")</f>
        <v>26880</v>
      </c>
      <c r="T66" s="46">
        <f>P66*SUMIFS(Income!$D$2:'Income'!$D$47,Income!$E$2:'Income'!$E$47,"&lt;="&amp;A66,Income!$F$2:'Income'!$F$47,"&gt;"&amp;A66,Income!$G$2:'Income'!$G$47,"=FALSE")</f>
        <v>0</v>
      </c>
      <c r="U66" s="46">
        <f t="shared" ref="U66:U100" si="24">Q66+R66</f>
        <v>90750.000000000015</v>
      </c>
      <c r="V66" s="22">
        <f>MIN( MAX( (Overall!$B$65*AVERAGE(B66,L66)*C66*(1+N66)), MAX(U66-D66,0)), C66*(1+N66)) * Overall!$B$66</f>
        <v>0</v>
      </c>
      <c r="W66" s="22">
        <f t="shared" ref="W66:W97" si="25">D66+V66</f>
        <v>26880</v>
      </c>
      <c r="X66" s="78">
        <f>IF(W66&lt;=Overall!$D$59*O66,Overall!$B$58,IF(W66&lt;=Overall!$D$61*O66,Overall!$B$60,Overall!$B$62))</f>
        <v>0.12</v>
      </c>
      <c r="Y66" s="22">
        <f t="shared" ref="Y66:Y97" si="26">W66*X66</f>
        <v>3225.6</v>
      </c>
      <c r="Z66" s="10">
        <f t="shared" si="18"/>
        <v>0</v>
      </c>
    </row>
    <row r="67" spans="1:26" x14ac:dyDescent="0.3">
      <c r="A67">
        <f>Overall!$B$1+K67</f>
        <v>2090</v>
      </c>
      <c r="B67">
        <f>A67-Overall!$B$7</f>
        <v>120</v>
      </c>
      <c r="C67" s="104">
        <f>IF(K67&lt;=0,Overall!$B$89,H66)</f>
        <v>0</v>
      </c>
      <c r="D67" s="22">
        <f t="shared" si="19"/>
        <v>26880</v>
      </c>
      <c r="E67" s="22">
        <f t="shared" si="20"/>
        <v>93975.60000000002</v>
      </c>
      <c r="F67" s="22">
        <f t="shared" si="21"/>
        <v>67095.60000000002</v>
      </c>
      <c r="G67" s="22">
        <f t="shared" si="22"/>
        <v>0</v>
      </c>
      <c r="H67" s="13">
        <f t="shared" si="23"/>
        <v>0</v>
      </c>
      <c r="K67">
        <f t="shared" ref="K67:K100" si="27">ROW(K67)-2</f>
        <v>65</v>
      </c>
      <c r="L67">
        <f>A67-Overall!$D$7</f>
        <v>120</v>
      </c>
      <c r="M67" s="80">
        <f>IF(Overall!$B$42&gt;0,Overall!$B$42,MIN(100,(MAX(20,120-B67)))/100)</f>
        <v>0.2</v>
      </c>
      <c r="N67" s="10">
        <f>((1+(Overall!$D$43*M67+Overall!$D$44*(1-M67))) / (1+Overall!$B$45-Overall!$D$45)) -1</f>
        <v>1.6585365853658551E-2</v>
      </c>
      <c r="O67" s="1">
        <f>POWER(1+Overall!$D$45,$K67+1)</f>
        <v>1</v>
      </c>
      <c r="P67" s="1">
        <f>1/POWER((1+Overall!$B$45-Overall!$D$45),$K67+1)</f>
        <v>0.19598592550763161</v>
      </c>
      <c r="Q67" s="104">
        <f>O67*SUMIFS(Expenses!$D$4:'Expenses'!$D$70,Expenses!$E$4:'Expenses'!$E$70,"&lt;="&amp;A67,Expenses!$F$4:'Expenses'!$F$70,"&gt;"&amp;A67,Expenses!$G$4:'Expenses'!$G$70,"=TRUE")*(1+Overall!$B$98)</f>
        <v>90750.000000000015</v>
      </c>
      <c r="R67" s="104">
        <f>P67*SUMIFS(Expenses!$D$4:'Expenses'!$D$70,Expenses!$E$4:'Expenses'!$E$70,"&lt;="&amp;A67,Expenses!$F$4:'Expenses'!$F$70,"&gt;"&amp;A67,Expenses!$G$4:'Expenses'!$G$70,"=FALSE")</f>
        <v>0</v>
      </c>
      <c r="S67" s="46">
        <f>O67*SUMIFS(Income!$D$2:'Income'!$D$47,Income!$E$2:'Income'!$E$47,"&lt;="&amp;A67,Income!$F$2:'Income'!$F$47,"&gt;"&amp;A67,Income!$G$2:'Income'!$G$47,"=TRUE")</f>
        <v>26880</v>
      </c>
      <c r="T67" s="46">
        <f>P67*SUMIFS(Income!$D$2:'Income'!$D$47,Income!$E$2:'Income'!$E$47,"&lt;="&amp;A67,Income!$F$2:'Income'!$F$47,"&gt;"&amp;A67,Income!$G$2:'Income'!$G$47,"=FALSE")</f>
        <v>0</v>
      </c>
      <c r="U67" s="46">
        <f t="shared" si="24"/>
        <v>90750.000000000015</v>
      </c>
      <c r="V67" s="22">
        <f>MIN( MAX( (Overall!$B$65*AVERAGE(B67,L67)*C67*(1+N67)), MAX(U67-D67,0)), C67*(1+N67)) * Overall!$B$66</f>
        <v>0</v>
      </c>
      <c r="W67" s="22">
        <f t="shared" si="25"/>
        <v>26880</v>
      </c>
      <c r="X67" s="78">
        <f>IF(W67&lt;=Overall!$D$59*O67,Overall!$B$58,IF(W67&lt;=Overall!$D$61*O67,Overall!$B$60,Overall!$B$62))</f>
        <v>0.12</v>
      </c>
      <c r="Y67" s="22">
        <f t="shared" si="26"/>
        <v>3225.6</v>
      </c>
      <c r="Z67" s="10">
        <f t="shared" ref="Z67:Z100" si="28">IF(H66&gt;0,F67/H66,0)</f>
        <v>0</v>
      </c>
    </row>
    <row r="68" spans="1:26" x14ac:dyDescent="0.3">
      <c r="A68">
        <f>Overall!$B$1+K68</f>
        <v>2091</v>
      </c>
      <c r="B68">
        <f>A68-Overall!$B$7</f>
        <v>121</v>
      </c>
      <c r="C68" s="104">
        <f>IF(K68&lt;=0,Overall!$B$89,H67)</f>
        <v>0</v>
      </c>
      <c r="D68" s="22">
        <f t="shared" si="19"/>
        <v>26880</v>
      </c>
      <c r="E68" s="22">
        <f t="shared" si="20"/>
        <v>93975.60000000002</v>
      </c>
      <c r="F68" s="22">
        <f t="shared" si="21"/>
        <v>67095.60000000002</v>
      </c>
      <c r="G68" s="22">
        <f t="shared" si="22"/>
        <v>0</v>
      </c>
      <c r="H68" s="13">
        <f t="shared" si="23"/>
        <v>0</v>
      </c>
      <c r="K68">
        <f t="shared" si="27"/>
        <v>66</v>
      </c>
      <c r="L68">
        <f>A68-Overall!$D$7</f>
        <v>121</v>
      </c>
      <c r="M68" s="80">
        <f>IF(Overall!$B$42&gt;0,Overall!$B$42,MIN(100,(MAX(20,120-B68)))/100)</f>
        <v>0.2</v>
      </c>
      <c r="N68" s="10">
        <f>((1+(Overall!$D$43*M68+Overall!$D$44*(1-M68))) / (1+Overall!$B$45-Overall!$D$45)) -1</f>
        <v>1.6585365853658551E-2</v>
      </c>
      <c r="O68" s="1">
        <f>POWER(1+Overall!$D$45,$K68+1)</f>
        <v>1</v>
      </c>
      <c r="P68" s="1">
        <f>1/POWER((1+Overall!$B$45-Overall!$D$45),$K68+1)</f>
        <v>0.19120578098305524</v>
      </c>
      <c r="Q68" s="104">
        <f>O68*SUMIFS(Expenses!$D$4:'Expenses'!$D$70,Expenses!$E$4:'Expenses'!$E$70,"&lt;="&amp;A68,Expenses!$F$4:'Expenses'!$F$70,"&gt;"&amp;A68,Expenses!$G$4:'Expenses'!$G$70,"=TRUE")*(1+Overall!$B$98)</f>
        <v>90750.000000000015</v>
      </c>
      <c r="R68" s="104">
        <f>P68*SUMIFS(Expenses!$D$4:'Expenses'!$D$70,Expenses!$E$4:'Expenses'!$E$70,"&lt;="&amp;A68,Expenses!$F$4:'Expenses'!$F$70,"&gt;"&amp;A68,Expenses!$G$4:'Expenses'!$G$70,"=FALSE")</f>
        <v>0</v>
      </c>
      <c r="S68" s="46">
        <f>O68*SUMIFS(Income!$D$2:'Income'!$D$47,Income!$E$2:'Income'!$E$47,"&lt;="&amp;A68,Income!$F$2:'Income'!$F$47,"&gt;"&amp;A68,Income!$G$2:'Income'!$G$47,"=TRUE")</f>
        <v>26880</v>
      </c>
      <c r="T68" s="46">
        <f>P68*SUMIFS(Income!$D$2:'Income'!$D$47,Income!$E$2:'Income'!$E$47,"&lt;="&amp;A68,Income!$F$2:'Income'!$F$47,"&gt;"&amp;A68,Income!$G$2:'Income'!$G$47,"=FALSE")</f>
        <v>0</v>
      </c>
      <c r="U68" s="46">
        <f t="shared" si="24"/>
        <v>90750.000000000015</v>
      </c>
      <c r="V68" s="22">
        <f>MIN( MAX( (Overall!$B$65*AVERAGE(B68,L68)*C68*(1+N68)), MAX(U68-D68,0)), C68*(1+N68)) * Overall!$B$66</f>
        <v>0</v>
      </c>
      <c r="W68" s="22">
        <f t="shared" si="25"/>
        <v>26880</v>
      </c>
      <c r="X68" s="78">
        <f>IF(W68&lt;=Overall!$D$59*O68,Overall!$B$58,IF(W68&lt;=Overall!$D$61*O68,Overall!$B$60,Overall!$B$62))</f>
        <v>0.12</v>
      </c>
      <c r="Y68" s="22">
        <f t="shared" si="26"/>
        <v>3225.6</v>
      </c>
      <c r="Z68" s="10">
        <f t="shared" si="28"/>
        <v>0</v>
      </c>
    </row>
    <row r="69" spans="1:26" x14ac:dyDescent="0.3">
      <c r="A69">
        <f>Overall!$B$1+K69</f>
        <v>2092</v>
      </c>
      <c r="B69">
        <f>A69-Overall!$B$7</f>
        <v>122</v>
      </c>
      <c r="C69" s="104">
        <f>IF(K69&lt;=0,Overall!$B$89,H68)</f>
        <v>0</v>
      </c>
      <c r="D69" s="22">
        <f t="shared" si="19"/>
        <v>26880</v>
      </c>
      <c r="E69" s="22">
        <f t="shared" si="20"/>
        <v>93975.60000000002</v>
      </c>
      <c r="F69" s="22">
        <f t="shared" si="21"/>
        <v>67095.60000000002</v>
      </c>
      <c r="G69" s="22">
        <f t="shared" si="22"/>
        <v>0</v>
      </c>
      <c r="H69" s="13">
        <f t="shared" si="23"/>
        <v>0</v>
      </c>
      <c r="K69">
        <f t="shared" si="27"/>
        <v>67</v>
      </c>
      <c r="L69">
        <f>A69-Overall!$D$7</f>
        <v>122</v>
      </c>
      <c r="M69" s="80">
        <f>IF(Overall!$B$42&gt;0,Overall!$B$42,MIN(100,(MAX(20,120-B69)))/100)</f>
        <v>0.2</v>
      </c>
      <c r="N69" s="10">
        <f>((1+(Overall!$D$43*M69+Overall!$D$44*(1-M69))) / (1+Overall!$B$45-Overall!$D$45)) -1</f>
        <v>1.6585365853658551E-2</v>
      </c>
      <c r="O69" s="1">
        <f>POWER(1+Overall!$D$45,$K69+1)</f>
        <v>1</v>
      </c>
      <c r="P69" s="1">
        <f>1/POWER((1+Overall!$B$45-Overall!$D$45),$K69+1)</f>
        <v>0.18654222534932219</v>
      </c>
      <c r="Q69" s="104">
        <f>O69*SUMIFS(Expenses!$D$4:'Expenses'!$D$70,Expenses!$E$4:'Expenses'!$E$70,"&lt;="&amp;A69,Expenses!$F$4:'Expenses'!$F$70,"&gt;"&amp;A69,Expenses!$G$4:'Expenses'!$G$70,"=TRUE")*(1+Overall!$B$98)</f>
        <v>90750.000000000015</v>
      </c>
      <c r="R69" s="104">
        <f>P69*SUMIFS(Expenses!$D$4:'Expenses'!$D$70,Expenses!$E$4:'Expenses'!$E$70,"&lt;="&amp;A69,Expenses!$F$4:'Expenses'!$F$70,"&gt;"&amp;A69,Expenses!$G$4:'Expenses'!$G$70,"=FALSE")</f>
        <v>0</v>
      </c>
      <c r="S69" s="46">
        <f>O69*SUMIFS(Income!$D$2:'Income'!$D$47,Income!$E$2:'Income'!$E$47,"&lt;="&amp;A69,Income!$F$2:'Income'!$F$47,"&gt;"&amp;A69,Income!$G$2:'Income'!$G$47,"=TRUE")</f>
        <v>26880</v>
      </c>
      <c r="T69" s="46">
        <f>P69*SUMIFS(Income!$D$2:'Income'!$D$47,Income!$E$2:'Income'!$E$47,"&lt;="&amp;A69,Income!$F$2:'Income'!$F$47,"&gt;"&amp;A69,Income!$G$2:'Income'!$G$47,"=FALSE")</f>
        <v>0</v>
      </c>
      <c r="U69" s="46">
        <f t="shared" si="24"/>
        <v>90750.000000000015</v>
      </c>
      <c r="V69" s="22">
        <f>MIN( MAX( (Overall!$B$65*AVERAGE(B69,L69)*C69*(1+N69)), MAX(U69-D69,0)), C69*(1+N69)) * Overall!$B$66</f>
        <v>0</v>
      </c>
      <c r="W69" s="22">
        <f t="shared" si="25"/>
        <v>26880</v>
      </c>
      <c r="X69" s="78">
        <f>IF(W69&lt;=Overall!$D$59*O69,Overall!$B$58,IF(W69&lt;=Overall!$D$61*O69,Overall!$B$60,Overall!$B$62))</f>
        <v>0.12</v>
      </c>
      <c r="Y69" s="22">
        <f t="shared" si="26"/>
        <v>3225.6</v>
      </c>
      <c r="Z69" s="10">
        <f t="shared" si="28"/>
        <v>0</v>
      </c>
    </row>
    <row r="70" spans="1:26" x14ac:dyDescent="0.3">
      <c r="A70">
        <f>Overall!$B$1+K70</f>
        <v>2093</v>
      </c>
      <c r="B70">
        <f>A70-Overall!$B$7</f>
        <v>123</v>
      </c>
      <c r="C70" s="104">
        <f>IF(K70&lt;=0,Overall!$B$89,H69)</f>
        <v>0</v>
      </c>
      <c r="D70" s="22">
        <f t="shared" si="19"/>
        <v>26880</v>
      </c>
      <c r="E70" s="22">
        <f t="shared" si="20"/>
        <v>93975.60000000002</v>
      </c>
      <c r="F70" s="22">
        <f t="shared" si="21"/>
        <v>67095.60000000002</v>
      </c>
      <c r="G70" s="22">
        <f t="shared" si="22"/>
        <v>0</v>
      </c>
      <c r="H70" s="13">
        <f t="shared" si="23"/>
        <v>0</v>
      </c>
      <c r="K70">
        <f t="shared" si="27"/>
        <v>68</v>
      </c>
      <c r="L70">
        <f>A70-Overall!$D$7</f>
        <v>123</v>
      </c>
      <c r="M70" s="80">
        <f>IF(Overall!$B$42&gt;0,Overall!$B$42,MIN(100,(MAX(20,120-B70)))/100)</f>
        <v>0.2</v>
      </c>
      <c r="N70" s="10">
        <f>((1+(Overall!$D$43*M70+Overall!$D$44*(1-M70))) / (1+Overall!$B$45-Overall!$D$45)) -1</f>
        <v>1.6585365853658551E-2</v>
      </c>
      <c r="O70" s="1">
        <f>POWER(1+Overall!$D$45,$K70+1)</f>
        <v>1</v>
      </c>
      <c r="P70" s="1">
        <f>1/POWER((1+Overall!$B$45-Overall!$D$45),$K70+1)</f>
        <v>0.1819924149749485</v>
      </c>
      <c r="Q70" s="104">
        <f>O70*SUMIFS(Expenses!$D$4:'Expenses'!$D$70,Expenses!$E$4:'Expenses'!$E$70,"&lt;="&amp;A70,Expenses!$F$4:'Expenses'!$F$70,"&gt;"&amp;A70,Expenses!$G$4:'Expenses'!$G$70,"=TRUE")*(1+Overall!$B$98)</f>
        <v>90750.000000000015</v>
      </c>
      <c r="R70" s="104">
        <f>P70*SUMIFS(Expenses!$D$4:'Expenses'!$D$70,Expenses!$E$4:'Expenses'!$E$70,"&lt;="&amp;A70,Expenses!$F$4:'Expenses'!$F$70,"&gt;"&amp;A70,Expenses!$G$4:'Expenses'!$G$70,"=FALSE")</f>
        <v>0</v>
      </c>
      <c r="S70" s="46">
        <f>O70*SUMIFS(Income!$D$2:'Income'!$D$47,Income!$E$2:'Income'!$E$47,"&lt;="&amp;A70,Income!$F$2:'Income'!$F$47,"&gt;"&amp;A70,Income!$G$2:'Income'!$G$47,"=TRUE")</f>
        <v>26880</v>
      </c>
      <c r="T70" s="46">
        <f>P70*SUMIFS(Income!$D$2:'Income'!$D$47,Income!$E$2:'Income'!$E$47,"&lt;="&amp;A70,Income!$F$2:'Income'!$F$47,"&gt;"&amp;A70,Income!$G$2:'Income'!$G$47,"=FALSE")</f>
        <v>0</v>
      </c>
      <c r="U70" s="46">
        <f t="shared" si="24"/>
        <v>90750.000000000015</v>
      </c>
      <c r="V70" s="22">
        <f>MIN( MAX( (Overall!$B$65*AVERAGE(B70,L70)*C70*(1+N70)), MAX(U70-D70,0)), C70*(1+N70)) * Overall!$B$66</f>
        <v>0</v>
      </c>
      <c r="W70" s="22">
        <f t="shared" si="25"/>
        <v>26880</v>
      </c>
      <c r="X70" s="78">
        <f>IF(W70&lt;=Overall!$D$59*O70,Overall!$B$58,IF(W70&lt;=Overall!$D$61*O70,Overall!$B$60,Overall!$B$62))</f>
        <v>0.12</v>
      </c>
      <c r="Y70" s="22">
        <f t="shared" si="26"/>
        <v>3225.6</v>
      </c>
      <c r="Z70" s="10">
        <f t="shared" si="28"/>
        <v>0</v>
      </c>
    </row>
    <row r="71" spans="1:26" x14ac:dyDescent="0.3">
      <c r="A71">
        <f>Overall!$B$1+K71</f>
        <v>2094</v>
      </c>
      <c r="B71">
        <f>A71-Overall!$B$7</f>
        <v>124</v>
      </c>
      <c r="C71" s="104">
        <f>IF(K71&lt;=0,Overall!$B$89,H70)</f>
        <v>0</v>
      </c>
      <c r="D71" s="22">
        <f t="shared" si="19"/>
        <v>26880</v>
      </c>
      <c r="E71" s="22">
        <f t="shared" si="20"/>
        <v>93975.60000000002</v>
      </c>
      <c r="F71" s="22">
        <f t="shared" si="21"/>
        <v>67095.60000000002</v>
      </c>
      <c r="G71" s="22">
        <f t="shared" si="22"/>
        <v>0</v>
      </c>
      <c r="H71" s="13">
        <f t="shared" si="23"/>
        <v>0</v>
      </c>
      <c r="K71">
        <f t="shared" si="27"/>
        <v>69</v>
      </c>
      <c r="L71">
        <f>A71-Overall!$D$7</f>
        <v>124</v>
      </c>
      <c r="M71" s="80">
        <f>IF(Overall!$B$42&gt;0,Overall!$B$42,MIN(100,(MAX(20,120-B71)))/100)</f>
        <v>0.2</v>
      </c>
      <c r="N71" s="10">
        <f>((1+(Overall!$D$43*M71+Overall!$D$44*(1-M71))) / (1+Overall!$B$45-Overall!$D$45)) -1</f>
        <v>1.6585365853658551E-2</v>
      </c>
      <c r="O71" s="1">
        <f>POWER(1+Overall!$D$45,$K71+1)</f>
        <v>1</v>
      </c>
      <c r="P71" s="1">
        <f>1/POWER((1+Overall!$B$45-Overall!$D$45),$K71+1)</f>
        <v>0.17755357558531562</v>
      </c>
      <c r="Q71" s="104">
        <f>O71*SUMIFS(Expenses!$D$4:'Expenses'!$D$70,Expenses!$E$4:'Expenses'!$E$70,"&lt;="&amp;A71,Expenses!$F$4:'Expenses'!$F$70,"&gt;"&amp;A71,Expenses!$G$4:'Expenses'!$G$70,"=TRUE")*(1+Overall!$B$98)</f>
        <v>90750.000000000015</v>
      </c>
      <c r="R71" s="104">
        <f>P71*SUMIFS(Expenses!$D$4:'Expenses'!$D$70,Expenses!$E$4:'Expenses'!$E$70,"&lt;="&amp;A71,Expenses!$F$4:'Expenses'!$F$70,"&gt;"&amp;A71,Expenses!$G$4:'Expenses'!$G$70,"=FALSE")</f>
        <v>0</v>
      </c>
      <c r="S71" s="46">
        <f>O71*SUMIFS(Income!$D$2:'Income'!$D$47,Income!$E$2:'Income'!$E$47,"&lt;="&amp;A71,Income!$F$2:'Income'!$F$47,"&gt;"&amp;A71,Income!$G$2:'Income'!$G$47,"=TRUE")</f>
        <v>26880</v>
      </c>
      <c r="T71" s="46">
        <f>P71*SUMIFS(Income!$D$2:'Income'!$D$47,Income!$E$2:'Income'!$E$47,"&lt;="&amp;A71,Income!$F$2:'Income'!$F$47,"&gt;"&amp;A71,Income!$G$2:'Income'!$G$47,"=FALSE")</f>
        <v>0</v>
      </c>
      <c r="U71" s="46">
        <f t="shared" si="24"/>
        <v>90750.000000000015</v>
      </c>
      <c r="V71" s="22">
        <f>MIN( MAX( (Overall!$B$65*AVERAGE(B71,L71)*C71*(1+N71)), MAX(U71-D71,0)), C71*(1+N71)) * Overall!$B$66</f>
        <v>0</v>
      </c>
      <c r="W71" s="22">
        <f t="shared" si="25"/>
        <v>26880</v>
      </c>
      <c r="X71" s="78">
        <f>IF(W71&lt;=Overall!$D$59*O71,Overall!$B$58,IF(W71&lt;=Overall!$D$61*O71,Overall!$B$60,Overall!$B$62))</f>
        <v>0.12</v>
      </c>
      <c r="Y71" s="22">
        <f t="shared" si="26"/>
        <v>3225.6</v>
      </c>
      <c r="Z71" s="10">
        <f t="shared" si="28"/>
        <v>0</v>
      </c>
    </row>
    <row r="72" spans="1:26" x14ac:dyDescent="0.3">
      <c r="A72">
        <f>Overall!$B$1+K72</f>
        <v>2095</v>
      </c>
      <c r="B72">
        <f>A72-Overall!$B$7</f>
        <v>125</v>
      </c>
      <c r="C72" s="104">
        <f>IF(K72&lt;=0,Overall!$B$89,H71)</f>
        <v>0</v>
      </c>
      <c r="D72" s="22">
        <f t="shared" si="19"/>
        <v>26880</v>
      </c>
      <c r="E72" s="22">
        <f t="shared" si="20"/>
        <v>93975.60000000002</v>
      </c>
      <c r="F72" s="22">
        <f t="shared" si="21"/>
        <v>67095.60000000002</v>
      </c>
      <c r="G72" s="22">
        <f t="shared" si="22"/>
        <v>0</v>
      </c>
      <c r="H72" s="13">
        <f t="shared" si="23"/>
        <v>0</v>
      </c>
      <c r="K72">
        <f t="shared" si="27"/>
        <v>70</v>
      </c>
      <c r="L72">
        <f>A72-Overall!$D$7</f>
        <v>125</v>
      </c>
      <c r="M72" s="80">
        <f>IF(Overall!$B$42&gt;0,Overall!$B$42,MIN(100,(MAX(20,120-B72)))/100)</f>
        <v>0.2</v>
      </c>
      <c r="N72" s="10">
        <f>((1+(Overall!$D$43*M72+Overall!$D$44*(1-M72))) / (1+Overall!$B$45-Overall!$D$45)) -1</f>
        <v>1.6585365853658551E-2</v>
      </c>
      <c r="O72" s="1">
        <f>POWER(1+Overall!$D$45,$K72+1)</f>
        <v>1</v>
      </c>
      <c r="P72" s="1">
        <f>1/POWER((1+Overall!$B$45-Overall!$D$45),$K72+1)</f>
        <v>0.17322300057103962</v>
      </c>
      <c r="Q72" s="104">
        <f>O72*SUMIFS(Expenses!$D$4:'Expenses'!$D$70,Expenses!$E$4:'Expenses'!$E$70,"&lt;="&amp;A72,Expenses!$F$4:'Expenses'!$F$70,"&gt;"&amp;A72,Expenses!$G$4:'Expenses'!$G$70,"=TRUE")*(1+Overall!$B$98)</f>
        <v>90750.000000000015</v>
      </c>
      <c r="R72" s="104">
        <f>P72*SUMIFS(Expenses!$D$4:'Expenses'!$D$70,Expenses!$E$4:'Expenses'!$E$70,"&lt;="&amp;A72,Expenses!$F$4:'Expenses'!$F$70,"&gt;"&amp;A72,Expenses!$G$4:'Expenses'!$G$70,"=FALSE")</f>
        <v>0</v>
      </c>
      <c r="S72" s="46">
        <f>O72*SUMIFS(Income!$D$2:'Income'!$D$47,Income!$E$2:'Income'!$E$47,"&lt;="&amp;A72,Income!$F$2:'Income'!$F$47,"&gt;"&amp;A72,Income!$G$2:'Income'!$G$47,"=TRUE")</f>
        <v>26880</v>
      </c>
      <c r="T72" s="46">
        <f>P72*SUMIFS(Income!$D$2:'Income'!$D$47,Income!$E$2:'Income'!$E$47,"&lt;="&amp;A72,Income!$F$2:'Income'!$F$47,"&gt;"&amp;A72,Income!$G$2:'Income'!$G$47,"=FALSE")</f>
        <v>0</v>
      </c>
      <c r="U72" s="46">
        <f t="shared" si="24"/>
        <v>90750.000000000015</v>
      </c>
      <c r="V72" s="22">
        <f>MIN( MAX( (Overall!$B$65*AVERAGE(B72,L72)*C72*(1+N72)), MAX(U72-D72,0)), C72*(1+N72)) * Overall!$B$66</f>
        <v>0</v>
      </c>
      <c r="W72" s="22">
        <f t="shared" si="25"/>
        <v>26880</v>
      </c>
      <c r="X72" s="78">
        <f>IF(W72&lt;=Overall!$D$59*O72,Overall!$B$58,IF(W72&lt;=Overall!$D$61*O72,Overall!$B$60,Overall!$B$62))</f>
        <v>0.12</v>
      </c>
      <c r="Y72" s="22">
        <f t="shared" si="26"/>
        <v>3225.6</v>
      </c>
      <c r="Z72" s="10">
        <f t="shared" si="28"/>
        <v>0</v>
      </c>
    </row>
    <row r="73" spans="1:26" x14ac:dyDescent="0.3">
      <c r="A73">
        <f>Overall!$B$1+K73</f>
        <v>2096</v>
      </c>
      <c r="B73">
        <f>A73-Overall!$B$7</f>
        <v>126</v>
      </c>
      <c r="C73" s="104">
        <f>IF(K73&lt;=0,Overall!$B$89,H72)</f>
        <v>0</v>
      </c>
      <c r="D73" s="22">
        <f t="shared" si="19"/>
        <v>26880</v>
      </c>
      <c r="E73" s="22">
        <f t="shared" si="20"/>
        <v>93975.60000000002</v>
      </c>
      <c r="F73" s="22">
        <f t="shared" si="21"/>
        <v>67095.60000000002</v>
      </c>
      <c r="G73" s="22">
        <f t="shared" si="22"/>
        <v>0</v>
      </c>
      <c r="H73" s="13">
        <f t="shared" si="23"/>
        <v>0</v>
      </c>
      <c r="K73">
        <f t="shared" si="27"/>
        <v>71</v>
      </c>
      <c r="L73">
        <f>A73-Overall!$D$7</f>
        <v>126</v>
      </c>
      <c r="M73" s="80">
        <f>IF(Overall!$B$42&gt;0,Overall!$B$42,MIN(100,(MAX(20,120-B73)))/100)</f>
        <v>0.2</v>
      </c>
      <c r="N73" s="10">
        <f>((1+(Overall!$D$43*M73+Overall!$D$44*(1-M73))) / (1+Overall!$B$45-Overall!$D$45)) -1</f>
        <v>1.6585365853658551E-2</v>
      </c>
      <c r="O73" s="1">
        <f>POWER(1+Overall!$D$45,$K73+1)</f>
        <v>1</v>
      </c>
      <c r="P73" s="1">
        <f>1/POWER((1+Overall!$B$45-Overall!$D$45),$K73+1)</f>
        <v>0.16899804933759965</v>
      </c>
      <c r="Q73" s="104">
        <f>O73*SUMIFS(Expenses!$D$4:'Expenses'!$D$70,Expenses!$E$4:'Expenses'!$E$70,"&lt;="&amp;A73,Expenses!$F$4:'Expenses'!$F$70,"&gt;"&amp;A73,Expenses!$G$4:'Expenses'!$G$70,"=TRUE")*(1+Overall!$B$98)</f>
        <v>90750.000000000015</v>
      </c>
      <c r="R73" s="104">
        <f>P73*SUMIFS(Expenses!$D$4:'Expenses'!$D$70,Expenses!$E$4:'Expenses'!$E$70,"&lt;="&amp;A73,Expenses!$F$4:'Expenses'!$F$70,"&gt;"&amp;A73,Expenses!$G$4:'Expenses'!$G$70,"=FALSE")</f>
        <v>0</v>
      </c>
      <c r="S73" s="46">
        <f>O73*SUMIFS(Income!$D$2:'Income'!$D$47,Income!$E$2:'Income'!$E$47,"&lt;="&amp;A73,Income!$F$2:'Income'!$F$47,"&gt;"&amp;A73,Income!$G$2:'Income'!$G$47,"=TRUE")</f>
        <v>26880</v>
      </c>
      <c r="T73" s="46">
        <f>P73*SUMIFS(Income!$D$2:'Income'!$D$47,Income!$E$2:'Income'!$E$47,"&lt;="&amp;A73,Income!$F$2:'Income'!$F$47,"&gt;"&amp;A73,Income!$G$2:'Income'!$G$47,"=FALSE")</f>
        <v>0</v>
      </c>
      <c r="U73" s="46">
        <f t="shared" si="24"/>
        <v>90750.000000000015</v>
      </c>
      <c r="V73" s="22">
        <f>MIN( MAX( (Overall!$B$65*AVERAGE(B73,L73)*C73*(1+N73)), MAX(U73-D73,0)), C73*(1+N73)) * Overall!$B$66</f>
        <v>0</v>
      </c>
      <c r="W73" s="22">
        <f t="shared" si="25"/>
        <v>26880</v>
      </c>
      <c r="X73" s="78">
        <f>IF(W73&lt;=Overall!$D$59*O73,Overall!$B$58,IF(W73&lt;=Overall!$D$61*O73,Overall!$B$60,Overall!$B$62))</f>
        <v>0.12</v>
      </c>
      <c r="Y73" s="22">
        <f t="shared" si="26"/>
        <v>3225.6</v>
      </c>
      <c r="Z73" s="10">
        <f t="shared" si="28"/>
        <v>0</v>
      </c>
    </row>
    <row r="74" spans="1:26" x14ac:dyDescent="0.3">
      <c r="A74">
        <f>Overall!$B$1+K74</f>
        <v>2097</v>
      </c>
      <c r="B74">
        <f>A74-Overall!$B$7</f>
        <v>127</v>
      </c>
      <c r="C74" s="104">
        <f>IF(K74&lt;=0,Overall!$B$89,H73)</f>
        <v>0</v>
      </c>
      <c r="D74" s="22">
        <f t="shared" si="19"/>
        <v>26880</v>
      </c>
      <c r="E74" s="22">
        <f t="shared" si="20"/>
        <v>93975.60000000002</v>
      </c>
      <c r="F74" s="22">
        <f t="shared" si="21"/>
        <v>67095.60000000002</v>
      </c>
      <c r="G74" s="22">
        <f t="shared" si="22"/>
        <v>0</v>
      </c>
      <c r="H74" s="13">
        <f t="shared" si="23"/>
        <v>0</v>
      </c>
      <c r="K74">
        <f t="shared" si="27"/>
        <v>72</v>
      </c>
      <c r="L74">
        <f>A74-Overall!$D$7</f>
        <v>127</v>
      </c>
      <c r="M74" s="80">
        <f>IF(Overall!$B$42&gt;0,Overall!$B$42,MIN(100,(MAX(20,120-B74)))/100)</f>
        <v>0.2</v>
      </c>
      <c r="N74" s="10">
        <f>((1+(Overall!$D$43*M74+Overall!$D$44*(1-M74))) / (1+Overall!$B$45-Overall!$D$45)) -1</f>
        <v>1.6585365853658551E-2</v>
      </c>
      <c r="O74" s="1">
        <f>POWER(1+Overall!$D$45,$K74+1)</f>
        <v>1</v>
      </c>
      <c r="P74" s="1">
        <f>1/POWER((1+Overall!$B$45-Overall!$D$45),$K74+1)</f>
        <v>0.16487614569521922</v>
      </c>
      <c r="Q74" s="104">
        <f>O74*SUMIFS(Expenses!$D$4:'Expenses'!$D$70,Expenses!$E$4:'Expenses'!$E$70,"&lt;="&amp;A74,Expenses!$F$4:'Expenses'!$F$70,"&gt;"&amp;A74,Expenses!$G$4:'Expenses'!$G$70,"=TRUE")*(1+Overall!$B$98)</f>
        <v>90750.000000000015</v>
      </c>
      <c r="R74" s="104">
        <f>P74*SUMIFS(Expenses!$D$4:'Expenses'!$D$70,Expenses!$E$4:'Expenses'!$E$70,"&lt;="&amp;A74,Expenses!$F$4:'Expenses'!$F$70,"&gt;"&amp;A74,Expenses!$G$4:'Expenses'!$G$70,"=FALSE")</f>
        <v>0</v>
      </c>
      <c r="S74" s="46">
        <f>O74*SUMIFS(Income!$D$2:'Income'!$D$47,Income!$E$2:'Income'!$E$47,"&lt;="&amp;A74,Income!$F$2:'Income'!$F$47,"&gt;"&amp;A74,Income!$G$2:'Income'!$G$47,"=TRUE")</f>
        <v>26880</v>
      </c>
      <c r="T74" s="46">
        <f>P74*SUMIFS(Income!$D$2:'Income'!$D$47,Income!$E$2:'Income'!$E$47,"&lt;="&amp;A74,Income!$F$2:'Income'!$F$47,"&gt;"&amp;A74,Income!$G$2:'Income'!$G$47,"=FALSE")</f>
        <v>0</v>
      </c>
      <c r="U74" s="46">
        <f t="shared" si="24"/>
        <v>90750.000000000015</v>
      </c>
      <c r="V74" s="22">
        <f>MIN( MAX( (Overall!$B$65*AVERAGE(B74,L74)*C74*(1+N74)), MAX(U74-D74,0)), C74*(1+N74)) * Overall!$B$66</f>
        <v>0</v>
      </c>
      <c r="W74" s="22">
        <f t="shared" si="25"/>
        <v>26880</v>
      </c>
      <c r="X74" s="78">
        <f>IF(W74&lt;=Overall!$D$59*O74,Overall!$B$58,IF(W74&lt;=Overall!$D$61*O74,Overall!$B$60,Overall!$B$62))</f>
        <v>0.12</v>
      </c>
      <c r="Y74" s="22">
        <f t="shared" si="26"/>
        <v>3225.6</v>
      </c>
      <c r="Z74" s="10">
        <f t="shared" si="28"/>
        <v>0</v>
      </c>
    </row>
    <row r="75" spans="1:26" x14ac:dyDescent="0.3">
      <c r="A75">
        <f>Overall!$B$1+K75</f>
        <v>2098</v>
      </c>
      <c r="B75">
        <f>A75-Overall!$B$7</f>
        <v>128</v>
      </c>
      <c r="C75" s="104">
        <f>IF(K75&lt;=0,Overall!$B$89,H74)</f>
        <v>0</v>
      </c>
      <c r="D75" s="22">
        <f t="shared" si="19"/>
        <v>26880</v>
      </c>
      <c r="E75" s="22">
        <f t="shared" si="20"/>
        <v>93975.60000000002</v>
      </c>
      <c r="F75" s="22">
        <f t="shared" si="21"/>
        <v>67095.60000000002</v>
      </c>
      <c r="G75" s="22">
        <f t="shared" si="22"/>
        <v>0</v>
      </c>
      <c r="H75" s="13">
        <f t="shared" si="23"/>
        <v>0</v>
      </c>
      <c r="K75">
        <f t="shared" si="27"/>
        <v>73</v>
      </c>
      <c r="L75">
        <f>A75-Overall!$D$7</f>
        <v>128</v>
      </c>
      <c r="M75" s="80">
        <f>IF(Overall!$B$42&gt;0,Overall!$B$42,MIN(100,(MAX(20,120-B75)))/100)</f>
        <v>0.2</v>
      </c>
      <c r="N75" s="10">
        <f>((1+(Overall!$D$43*M75+Overall!$D$44*(1-M75))) / (1+Overall!$B$45-Overall!$D$45)) -1</f>
        <v>1.6585365853658551E-2</v>
      </c>
      <c r="O75" s="1">
        <f>POWER(1+Overall!$D$45,$K75+1)</f>
        <v>1</v>
      </c>
      <c r="P75" s="1">
        <f>1/POWER((1+Overall!$B$45-Overall!$D$45),$K75+1)</f>
        <v>0.16085477628801872</v>
      </c>
      <c r="Q75" s="104">
        <f>O75*SUMIFS(Expenses!$D$4:'Expenses'!$D$70,Expenses!$E$4:'Expenses'!$E$70,"&lt;="&amp;A75,Expenses!$F$4:'Expenses'!$F$70,"&gt;"&amp;A75,Expenses!$G$4:'Expenses'!$G$70,"=TRUE")*(1+Overall!$B$98)</f>
        <v>90750.000000000015</v>
      </c>
      <c r="R75" s="104">
        <f>P75*SUMIFS(Expenses!$D$4:'Expenses'!$D$70,Expenses!$E$4:'Expenses'!$E$70,"&lt;="&amp;A75,Expenses!$F$4:'Expenses'!$F$70,"&gt;"&amp;A75,Expenses!$G$4:'Expenses'!$G$70,"=FALSE")</f>
        <v>0</v>
      </c>
      <c r="S75" s="46">
        <f>O75*SUMIFS(Income!$D$2:'Income'!$D$47,Income!$E$2:'Income'!$E$47,"&lt;="&amp;A75,Income!$F$2:'Income'!$F$47,"&gt;"&amp;A75,Income!$G$2:'Income'!$G$47,"=TRUE")</f>
        <v>26880</v>
      </c>
      <c r="T75" s="46">
        <f>P75*SUMIFS(Income!$D$2:'Income'!$D$47,Income!$E$2:'Income'!$E$47,"&lt;="&amp;A75,Income!$F$2:'Income'!$F$47,"&gt;"&amp;A75,Income!$G$2:'Income'!$G$47,"=FALSE")</f>
        <v>0</v>
      </c>
      <c r="U75" s="46">
        <f t="shared" si="24"/>
        <v>90750.000000000015</v>
      </c>
      <c r="V75" s="22">
        <f>MIN( MAX( (Overall!$B$65*AVERAGE(B75,L75)*C75*(1+N75)), MAX(U75-D75,0)), C75*(1+N75)) * Overall!$B$66</f>
        <v>0</v>
      </c>
      <c r="W75" s="22">
        <f t="shared" si="25"/>
        <v>26880</v>
      </c>
      <c r="X75" s="78">
        <f>IF(W75&lt;=Overall!$D$59*O75,Overall!$B$58,IF(W75&lt;=Overall!$D$61*O75,Overall!$B$60,Overall!$B$62))</f>
        <v>0.12</v>
      </c>
      <c r="Y75" s="22">
        <f t="shared" si="26"/>
        <v>3225.6</v>
      </c>
      <c r="Z75" s="10">
        <f t="shared" si="28"/>
        <v>0</v>
      </c>
    </row>
    <row r="76" spans="1:26" x14ac:dyDescent="0.3">
      <c r="A76">
        <f>Overall!$B$1+K76</f>
        <v>2099</v>
      </c>
      <c r="B76">
        <f>A76-Overall!$B$7</f>
        <v>129</v>
      </c>
      <c r="C76" s="104">
        <f>IF(K76&lt;=0,Overall!$B$89,H75)</f>
        <v>0</v>
      </c>
      <c r="D76" s="22">
        <f t="shared" si="19"/>
        <v>26880</v>
      </c>
      <c r="E76" s="22">
        <f t="shared" si="20"/>
        <v>93975.60000000002</v>
      </c>
      <c r="F76" s="22">
        <f t="shared" si="21"/>
        <v>67095.60000000002</v>
      </c>
      <c r="G76" s="22">
        <f t="shared" si="22"/>
        <v>0</v>
      </c>
      <c r="H76" s="13">
        <f t="shared" si="23"/>
        <v>0</v>
      </c>
      <c r="K76">
        <f t="shared" si="27"/>
        <v>74</v>
      </c>
      <c r="L76">
        <f>A76-Overall!$D$7</f>
        <v>129</v>
      </c>
      <c r="M76" s="80">
        <f>IF(Overall!$B$42&gt;0,Overall!$B$42,MIN(100,(MAX(20,120-B76)))/100)</f>
        <v>0.2</v>
      </c>
      <c r="N76" s="10">
        <f>((1+(Overall!$D$43*M76+Overall!$D$44*(1-M76))) / (1+Overall!$B$45-Overall!$D$45)) -1</f>
        <v>1.6585365853658551E-2</v>
      </c>
      <c r="O76" s="1">
        <f>POWER(1+Overall!$D$45,$K76+1)</f>
        <v>1</v>
      </c>
      <c r="P76" s="1">
        <f>1/POWER((1+Overall!$B$45-Overall!$D$45),$K76+1)</f>
        <v>0.15693148906148169</v>
      </c>
      <c r="Q76" s="104">
        <f>O76*SUMIFS(Expenses!$D$4:'Expenses'!$D$70,Expenses!$E$4:'Expenses'!$E$70,"&lt;="&amp;A76,Expenses!$F$4:'Expenses'!$F$70,"&gt;"&amp;A76,Expenses!$G$4:'Expenses'!$G$70,"=TRUE")*(1+Overall!$B$98)</f>
        <v>90750.000000000015</v>
      </c>
      <c r="R76" s="104">
        <f>P76*SUMIFS(Expenses!$D$4:'Expenses'!$D$70,Expenses!$E$4:'Expenses'!$E$70,"&lt;="&amp;A76,Expenses!$F$4:'Expenses'!$F$70,"&gt;"&amp;A76,Expenses!$G$4:'Expenses'!$G$70,"=FALSE")</f>
        <v>0</v>
      </c>
      <c r="S76" s="46">
        <f>O76*SUMIFS(Income!$D$2:'Income'!$D$47,Income!$E$2:'Income'!$E$47,"&lt;="&amp;A76,Income!$F$2:'Income'!$F$47,"&gt;"&amp;A76,Income!$G$2:'Income'!$G$47,"=TRUE")</f>
        <v>26880</v>
      </c>
      <c r="T76" s="46">
        <f>P76*SUMIFS(Income!$D$2:'Income'!$D$47,Income!$E$2:'Income'!$E$47,"&lt;="&amp;A76,Income!$F$2:'Income'!$F$47,"&gt;"&amp;A76,Income!$G$2:'Income'!$G$47,"=FALSE")</f>
        <v>0</v>
      </c>
      <c r="U76" s="46">
        <f t="shared" si="24"/>
        <v>90750.000000000015</v>
      </c>
      <c r="V76" s="22">
        <f>MIN( MAX( (Overall!$B$65*AVERAGE(B76,L76)*C76*(1+N76)), MAX(U76-D76,0)), C76*(1+N76)) * Overall!$B$66</f>
        <v>0</v>
      </c>
      <c r="W76" s="22">
        <f t="shared" si="25"/>
        <v>26880</v>
      </c>
      <c r="X76" s="78">
        <f>IF(W76&lt;=Overall!$D$59*O76,Overall!$B$58,IF(W76&lt;=Overall!$D$61*O76,Overall!$B$60,Overall!$B$62))</f>
        <v>0.12</v>
      </c>
      <c r="Y76" s="22">
        <f t="shared" si="26"/>
        <v>3225.6</v>
      </c>
      <c r="Z76" s="10">
        <f t="shared" si="28"/>
        <v>0</v>
      </c>
    </row>
    <row r="77" spans="1:26" x14ac:dyDescent="0.3">
      <c r="A77">
        <f>Overall!$B$1+K77</f>
        <v>2100</v>
      </c>
      <c r="B77">
        <f>A77-Overall!$B$7</f>
        <v>130</v>
      </c>
      <c r="C77" s="104">
        <f>IF(K77&lt;=0,Overall!$B$89,H76)</f>
        <v>0</v>
      </c>
      <c r="D77" s="22">
        <f t="shared" si="19"/>
        <v>26880</v>
      </c>
      <c r="E77" s="22">
        <f t="shared" si="20"/>
        <v>93975.60000000002</v>
      </c>
      <c r="F77" s="22">
        <f t="shared" si="21"/>
        <v>67095.60000000002</v>
      </c>
      <c r="G77" s="22">
        <f t="shared" si="22"/>
        <v>0</v>
      </c>
      <c r="H77" s="13">
        <f t="shared" si="23"/>
        <v>0</v>
      </c>
      <c r="K77">
        <f t="shared" si="27"/>
        <v>75</v>
      </c>
      <c r="L77">
        <f>A77-Overall!$D$7</f>
        <v>130</v>
      </c>
      <c r="M77" s="80">
        <f>IF(Overall!$B$42&gt;0,Overall!$B$42,MIN(100,(MAX(20,120-B77)))/100)</f>
        <v>0.2</v>
      </c>
      <c r="N77" s="10">
        <f>((1+(Overall!$D$43*M77+Overall!$D$44*(1-M77))) / (1+Overall!$B$45-Overall!$D$45)) -1</f>
        <v>1.6585365853658551E-2</v>
      </c>
      <c r="O77" s="1">
        <f>POWER(1+Overall!$D$45,$K77+1)</f>
        <v>1</v>
      </c>
      <c r="P77" s="1">
        <f>1/POWER((1+Overall!$B$45-Overall!$D$45),$K77+1)</f>
        <v>0.15310389176729922</v>
      </c>
      <c r="Q77" s="104">
        <f>O77*SUMIFS(Expenses!$D$4:'Expenses'!$D$70,Expenses!$E$4:'Expenses'!$E$70,"&lt;="&amp;A77,Expenses!$F$4:'Expenses'!$F$70,"&gt;"&amp;A77,Expenses!$G$4:'Expenses'!$G$70,"=TRUE")*(1+Overall!$B$98)</f>
        <v>90750.000000000015</v>
      </c>
      <c r="R77" s="104">
        <f>P77*SUMIFS(Expenses!$D$4:'Expenses'!$D$70,Expenses!$E$4:'Expenses'!$E$70,"&lt;="&amp;A77,Expenses!$F$4:'Expenses'!$F$70,"&gt;"&amp;A77,Expenses!$G$4:'Expenses'!$G$70,"=FALSE")</f>
        <v>0</v>
      </c>
      <c r="S77" s="46">
        <f>O77*SUMIFS(Income!$D$2:'Income'!$D$47,Income!$E$2:'Income'!$E$47,"&lt;="&amp;A77,Income!$F$2:'Income'!$F$47,"&gt;"&amp;A77,Income!$G$2:'Income'!$G$47,"=TRUE")</f>
        <v>26880</v>
      </c>
      <c r="T77" s="46">
        <f>P77*SUMIFS(Income!$D$2:'Income'!$D$47,Income!$E$2:'Income'!$E$47,"&lt;="&amp;A77,Income!$F$2:'Income'!$F$47,"&gt;"&amp;A77,Income!$G$2:'Income'!$G$47,"=FALSE")</f>
        <v>0</v>
      </c>
      <c r="U77" s="46">
        <f t="shared" si="24"/>
        <v>90750.000000000015</v>
      </c>
      <c r="V77" s="22">
        <f>MIN( MAX( (Overall!$B$65*AVERAGE(B77,L77)*C77*(1+N77)), MAX(U77-D77,0)), C77*(1+N77)) * Overall!$B$66</f>
        <v>0</v>
      </c>
      <c r="W77" s="22">
        <f t="shared" si="25"/>
        <v>26880</v>
      </c>
      <c r="X77" s="78">
        <f>IF(W77&lt;=Overall!$D$59*O77,Overall!$B$58,IF(W77&lt;=Overall!$D$61*O77,Overall!$B$60,Overall!$B$62))</f>
        <v>0.12</v>
      </c>
      <c r="Y77" s="22">
        <f t="shared" si="26"/>
        <v>3225.6</v>
      </c>
      <c r="Z77" s="10">
        <f t="shared" si="28"/>
        <v>0</v>
      </c>
    </row>
    <row r="78" spans="1:26" x14ac:dyDescent="0.3">
      <c r="A78">
        <f>Overall!$B$1+K78</f>
        <v>2101</v>
      </c>
      <c r="B78">
        <f>A78-Overall!$B$7</f>
        <v>131</v>
      </c>
      <c r="C78" s="104">
        <f>IF(K78&lt;=0,Overall!$B$89,H77)</f>
        <v>0</v>
      </c>
      <c r="D78" s="22">
        <f t="shared" si="19"/>
        <v>26880</v>
      </c>
      <c r="E78" s="22">
        <f t="shared" si="20"/>
        <v>93975.60000000002</v>
      </c>
      <c r="F78" s="22">
        <f t="shared" si="21"/>
        <v>67095.60000000002</v>
      </c>
      <c r="G78" s="22">
        <f t="shared" si="22"/>
        <v>0</v>
      </c>
      <c r="H78" s="13">
        <f t="shared" si="23"/>
        <v>0</v>
      </c>
      <c r="K78">
        <f t="shared" si="27"/>
        <v>76</v>
      </c>
      <c r="L78">
        <f>A78-Overall!$D$7</f>
        <v>131</v>
      </c>
      <c r="M78" s="80">
        <f>IF(Overall!$B$42&gt;0,Overall!$B$42,MIN(100,(MAX(20,120-B78)))/100)</f>
        <v>0.2</v>
      </c>
      <c r="N78" s="10">
        <f>((1+(Overall!$D$43*M78+Overall!$D$44*(1-M78))) / (1+Overall!$B$45-Overall!$D$45)) -1</f>
        <v>1.6585365853658551E-2</v>
      </c>
      <c r="O78" s="1">
        <f>POWER(1+Overall!$D$45,$K78+1)</f>
        <v>1</v>
      </c>
      <c r="P78" s="1">
        <f>1/POWER((1+Overall!$B$45-Overall!$D$45),$K78+1)</f>
        <v>0.14936965050468218</v>
      </c>
      <c r="Q78" s="104">
        <f>O78*SUMIFS(Expenses!$D$4:'Expenses'!$D$70,Expenses!$E$4:'Expenses'!$E$70,"&lt;="&amp;A78,Expenses!$F$4:'Expenses'!$F$70,"&gt;"&amp;A78,Expenses!$G$4:'Expenses'!$G$70,"=TRUE")*(1+Overall!$B$98)</f>
        <v>90750.000000000015</v>
      </c>
      <c r="R78" s="104">
        <f>P78*SUMIFS(Expenses!$D$4:'Expenses'!$D$70,Expenses!$E$4:'Expenses'!$E$70,"&lt;="&amp;A78,Expenses!$F$4:'Expenses'!$F$70,"&gt;"&amp;A78,Expenses!$G$4:'Expenses'!$G$70,"=FALSE")</f>
        <v>0</v>
      </c>
      <c r="S78" s="46">
        <f>O78*SUMIFS(Income!$D$2:'Income'!$D$47,Income!$E$2:'Income'!$E$47,"&lt;="&amp;A78,Income!$F$2:'Income'!$F$47,"&gt;"&amp;A78,Income!$G$2:'Income'!$G$47,"=TRUE")</f>
        <v>26880</v>
      </c>
      <c r="T78" s="46">
        <f>P78*SUMIFS(Income!$D$2:'Income'!$D$47,Income!$E$2:'Income'!$E$47,"&lt;="&amp;A78,Income!$F$2:'Income'!$F$47,"&gt;"&amp;A78,Income!$G$2:'Income'!$G$47,"=FALSE")</f>
        <v>0</v>
      </c>
      <c r="U78" s="46">
        <f t="shared" si="24"/>
        <v>90750.000000000015</v>
      </c>
      <c r="V78" s="22">
        <f>MIN( MAX( (Overall!$B$65*AVERAGE(B78,L78)*C78*(1+N78)), MAX(U78-D78,0)), C78*(1+N78)) * Overall!$B$66</f>
        <v>0</v>
      </c>
      <c r="W78" s="22">
        <f t="shared" si="25"/>
        <v>26880</v>
      </c>
      <c r="X78" s="78">
        <f>IF(W78&lt;=Overall!$D$59*O78,Overall!$B$58,IF(W78&lt;=Overall!$D$61*O78,Overall!$B$60,Overall!$B$62))</f>
        <v>0.12</v>
      </c>
      <c r="Y78" s="22">
        <f t="shared" si="26"/>
        <v>3225.6</v>
      </c>
      <c r="Z78" s="10">
        <f t="shared" si="28"/>
        <v>0</v>
      </c>
    </row>
    <row r="79" spans="1:26" x14ac:dyDescent="0.3">
      <c r="A79">
        <f>Overall!$B$1+K79</f>
        <v>2102</v>
      </c>
      <c r="B79">
        <f>A79-Overall!$B$7</f>
        <v>132</v>
      </c>
      <c r="C79" s="104">
        <f>IF(K79&lt;=0,Overall!$B$89,H78)</f>
        <v>0</v>
      </c>
      <c r="D79" s="22">
        <f t="shared" si="19"/>
        <v>26880</v>
      </c>
      <c r="E79" s="22">
        <f t="shared" si="20"/>
        <v>93975.60000000002</v>
      </c>
      <c r="F79" s="22">
        <f t="shared" si="21"/>
        <v>67095.60000000002</v>
      </c>
      <c r="G79" s="22">
        <f t="shared" si="22"/>
        <v>0</v>
      </c>
      <c r="H79" s="13">
        <f t="shared" si="23"/>
        <v>0</v>
      </c>
      <c r="K79">
        <f t="shared" si="27"/>
        <v>77</v>
      </c>
      <c r="L79">
        <f>A79-Overall!$D$7</f>
        <v>132</v>
      </c>
      <c r="M79" s="80">
        <f>IF(Overall!$B$42&gt;0,Overall!$B$42,MIN(100,(MAX(20,120-B79)))/100)</f>
        <v>0.2</v>
      </c>
      <c r="N79" s="10">
        <f>((1+(Overall!$D$43*M79+Overall!$D$44*(1-M79))) / (1+Overall!$B$45-Overall!$D$45)) -1</f>
        <v>1.6585365853658551E-2</v>
      </c>
      <c r="O79" s="1">
        <f>POWER(1+Overall!$D$45,$K79+1)</f>
        <v>1</v>
      </c>
      <c r="P79" s="1">
        <f>1/POWER((1+Overall!$B$45-Overall!$D$45),$K79+1)</f>
        <v>0.14572648829725093</v>
      </c>
      <c r="Q79" s="104">
        <f>O79*SUMIFS(Expenses!$D$4:'Expenses'!$D$70,Expenses!$E$4:'Expenses'!$E$70,"&lt;="&amp;A79,Expenses!$F$4:'Expenses'!$F$70,"&gt;"&amp;A79,Expenses!$G$4:'Expenses'!$G$70,"=TRUE")*(1+Overall!$B$98)</f>
        <v>90750.000000000015</v>
      </c>
      <c r="R79" s="104">
        <f>P79*SUMIFS(Expenses!$D$4:'Expenses'!$D$70,Expenses!$E$4:'Expenses'!$E$70,"&lt;="&amp;A79,Expenses!$F$4:'Expenses'!$F$70,"&gt;"&amp;A79,Expenses!$G$4:'Expenses'!$G$70,"=FALSE")</f>
        <v>0</v>
      </c>
      <c r="S79" s="46">
        <f>O79*SUMIFS(Income!$D$2:'Income'!$D$47,Income!$E$2:'Income'!$E$47,"&lt;="&amp;A79,Income!$F$2:'Income'!$F$47,"&gt;"&amp;A79,Income!$G$2:'Income'!$G$47,"=TRUE")</f>
        <v>26880</v>
      </c>
      <c r="T79" s="46">
        <f>P79*SUMIFS(Income!$D$2:'Income'!$D$47,Income!$E$2:'Income'!$E$47,"&lt;="&amp;A79,Income!$F$2:'Income'!$F$47,"&gt;"&amp;A79,Income!$G$2:'Income'!$G$47,"=FALSE")</f>
        <v>0</v>
      </c>
      <c r="U79" s="46">
        <f t="shared" si="24"/>
        <v>90750.000000000015</v>
      </c>
      <c r="V79" s="22">
        <f>MIN( MAX( (Overall!$B$65*AVERAGE(B79,L79)*C79*(1+N79)), MAX(U79-D79,0)), C79*(1+N79)) * Overall!$B$66</f>
        <v>0</v>
      </c>
      <c r="W79" s="22">
        <f t="shared" si="25"/>
        <v>26880</v>
      </c>
      <c r="X79" s="78">
        <f>IF(W79&lt;=Overall!$D$59*O79,Overall!$B$58,IF(W79&lt;=Overall!$D$61*O79,Overall!$B$60,Overall!$B$62))</f>
        <v>0.12</v>
      </c>
      <c r="Y79" s="22">
        <f t="shared" si="26"/>
        <v>3225.6</v>
      </c>
      <c r="Z79" s="10">
        <f t="shared" si="28"/>
        <v>0</v>
      </c>
    </row>
    <row r="80" spans="1:26" x14ac:dyDescent="0.3">
      <c r="A80">
        <f>Overall!$B$1+K80</f>
        <v>2103</v>
      </c>
      <c r="B80">
        <f>A80-Overall!$B$7</f>
        <v>133</v>
      </c>
      <c r="C80" s="104">
        <f>IF(K80&lt;=0,Overall!$B$89,H79)</f>
        <v>0</v>
      </c>
      <c r="D80" s="22">
        <f t="shared" si="19"/>
        <v>26880</v>
      </c>
      <c r="E80" s="22">
        <f t="shared" si="20"/>
        <v>93975.60000000002</v>
      </c>
      <c r="F80" s="22">
        <f t="shared" si="21"/>
        <v>67095.60000000002</v>
      </c>
      <c r="G80" s="22">
        <f t="shared" si="22"/>
        <v>0</v>
      </c>
      <c r="H80" s="13">
        <f t="shared" si="23"/>
        <v>0</v>
      </c>
      <c r="K80">
        <f t="shared" si="27"/>
        <v>78</v>
      </c>
      <c r="L80">
        <f>A80-Overall!$D$7</f>
        <v>133</v>
      </c>
      <c r="M80" s="80">
        <f>IF(Overall!$B$42&gt;0,Overall!$B$42,MIN(100,(MAX(20,120-B80)))/100)</f>
        <v>0.2</v>
      </c>
      <c r="N80" s="10">
        <f>((1+(Overall!$D$43*M80+Overall!$D$44*(1-M80))) / (1+Overall!$B$45-Overall!$D$45)) -1</f>
        <v>1.6585365853658551E-2</v>
      </c>
      <c r="O80" s="1">
        <f>POWER(1+Overall!$D$45,$K80+1)</f>
        <v>1</v>
      </c>
      <c r="P80" s="1">
        <f>1/POWER((1+Overall!$B$45-Overall!$D$45),$K80+1)</f>
        <v>0.14217218370463502</v>
      </c>
      <c r="Q80" s="104">
        <f>O80*SUMIFS(Expenses!$D$4:'Expenses'!$D$70,Expenses!$E$4:'Expenses'!$E$70,"&lt;="&amp;A80,Expenses!$F$4:'Expenses'!$F$70,"&gt;"&amp;A80,Expenses!$G$4:'Expenses'!$G$70,"=TRUE")*(1+Overall!$B$98)</f>
        <v>90750.000000000015</v>
      </c>
      <c r="R80" s="104">
        <f>P80*SUMIFS(Expenses!$D$4:'Expenses'!$D$70,Expenses!$E$4:'Expenses'!$E$70,"&lt;="&amp;A80,Expenses!$F$4:'Expenses'!$F$70,"&gt;"&amp;A80,Expenses!$G$4:'Expenses'!$G$70,"=FALSE")</f>
        <v>0</v>
      </c>
      <c r="S80" s="46">
        <f>O80*SUMIFS(Income!$D$2:'Income'!$D$47,Income!$E$2:'Income'!$E$47,"&lt;="&amp;A80,Income!$F$2:'Income'!$F$47,"&gt;"&amp;A80,Income!$G$2:'Income'!$G$47,"=TRUE")</f>
        <v>26880</v>
      </c>
      <c r="T80" s="46">
        <f>P80*SUMIFS(Income!$D$2:'Income'!$D$47,Income!$E$2:'Income'!$E$47,"&lt;="&amp;A80,Income!$F$2:'Income'!$F$47,"&gt;"&amp;A80,Income!$G$2:'Income'!$G$47,"=FALSE")</f>
        <v>0</v>
      </c>
      <c r="U80" s="46">
        <f t="shared" si="24"/>
        <v>90750.000000000015</v>
      </c>
      <c r="V80" s="22">
        <f>MIN( MAX( (Overall!$B$65*AVERAGE(B80,L80)*C80*(1+N80)), MAX(U80-D80,0)), C80*(1+N80)) * Overall!$B$66</f>
        <v>0</v>
      </c>
      <c r="W80" s="22">
        <f t="shared" si="25"/>
        <v>26880</v>
      </c>
      <c r="X80" s="78">
        <f>IF(W80&lt;=Overall!$D$59*O80,Overall!$B$58,IF(W80&lt;=Overall!$D$61*O80,Overall!$B$60,Overall!$B$62))</f>
        <v>0.12</v>
      </c>
      <c r="Y80" s="22">
        <f t="shared" si="26"/>
        <v>3225.6</v>
      </c>
      <c r="Z80" s="10">
        <f t="shared" si="28"/>
        <v>0</v>
      </c>
    </row>
    <row r="81" spans="1:26" x14ac:dyDescent="0.3">
      <c r="A81">
        <f>Overall!$B$1+K81</f>
        <v>2104</v>
      </c>
      <c r="B81">
        <f>A81-Overall!$B$7</f>
        <v>134</v>
      </c>
      <c r="C81" s="104">
        <f>IF(K81&lt;=0,Overall!$B$89,H80)</f>
        <v>0</v>
      </c>
      <c r="D81" s="22">
        <f t="shared" si="19"/>
        <v>26880</v>
      </c>
      <c r="E81" s="22">
        <f t="shared" si="20"/>
        <v>93975.60000000002</v>
      </c>
      <c r="F81" s="22">
        <f t="shared" si="21"/>
        <v>67095.60000000002</v>
      </c>
      <c r="G81" s="22">
        <f t="shared" si="22"/>
        <v>0</v>
      </c>
      <c r="H81" s="13">
        <f t="shared" si="23"/>
        <v>0</v>
      </c>
      <c r="K81">
        <f t="shared" si="27"/>
        <v>79</v>
      </c>
      <c r="L81">
        <f>A81-Overall!$D$7</f>
        <v>134</v>
      </c>
      <c r="M81" s="80">
        <f>IF(Overall!$B$42&gt;0,Overall!$B$42,MIN(100,(MAX(20,120-B81)))/100)</f>
        <v>0.2</v>
      </c>
      <c r="N81" s="10">
        <f>((1+(Overall!$D$43*M81+Overall!$D$44*(1-M81))) / (1+Overall!$B$45-Overall!$D$45)) -1</f>
        <v>1.6585365853658551E-2</v>
      </c>
      <c r="O81" s="1">
        <f>POWER(1+Overall!$D$45,$K81+1)</f>
        <v>1</v>
      </c>
      <c r="P81" s="1">
        <f>1/POWER((1+Overall!$B$45-Overall!$D$45),$K81+1)</f>
        <v>0.13870456946793663</v>
      </c>
      <c r="Q81" s="104">
        <f>O81*SUMIFS(Expenses!$D$4:'Expenses'!$D$70,Expenses!$E$4:'Expenses'!$E$70,"&lt;="&amp;A81,Expenses!$F$4:'Expenses'!$F$70,"&gt;"&amp;A81,Expenses!$G$4:'Expenses'!$G$70,"=TRUE")*(1+Overall!$B$98)</f>
        <v>90750.000000000015</v>
      </c>
      <c r="R81" s="104">
        <f>P81*SUMIFS(Expenses!$D$4:'Expenses'!$D$70,Expenses!$E$4:'Expenses'!$E$70,"&lt;="&amp;A81,Expenses!$F$4:'Expenses'!$F$70,"&gt;"&amp;A81,Expenses!$G$4:'Expenses'!$G$70,"=FALSE")</f>
        <v>0</v>
      </c>
      <c r="S81" s="46">
        <f>O81*SUMIFS(Income!$D$2:'Income'!$D$47,Income!$E$2:'Income'!$E$47,"&lt;="&amp;A81,Income!$F$2:'Income'!$F$47,"&gt;"&amp;A81,Income!$G$2:'Income'!$G$47,"=TRUE")</f>
        <v>26880</v>
      </c>
      <c r="T81" s="46">
        <f>P81*SUMIFS(Income!$D$2:'Income'!$D$47,Income!$E$2:'Income'!$E$47,"&lt;="&amp;A81,Income!$F$2:'Income'!$F$47,"&gt;"&amp;A81,Income!$G$2:'Income'!$G$47,"=FALSE")</f>
        <v>0</v>
      </c>
      <c r="U81" s="46">
        <f t="shared" si="24"/>
        <v>90750.000000000015</v>
      </c>
      <c r="V81" s="22">
        <f>MIN( MAX( (Overall!$B$65*AVERAGE(B81,L81)*C81*(1+N81)), MAX(U81-D81,0)), C81*(1+N81)) * Overall!$B$66</f>
        <v>0</v>
      </c>
      <c r="W81" s="22">
        <f t="shared" si="25"/>
        <v>26880</v>
      </c>
      <c r="X81" s="78">
        <f>IF(W81&lt;=Overall!$D$59*O81,Overall!$B$58,IF(W81&lt;=Overall!$D$61*O81,Overall!$B$60,Overall!$B$62))</f>
        <v>0.12</v>
      </c>
      <c r="Y81" s="22">
        <f t="shared" si="26"/>
        <v>3225.6</v>
      </c>
      <c r="Z81" s="10">
        <f t="shared" si="28"/>
        <v>0</v>
      </c>
    </row>
    <row r="82" spans="1:26" x14ac:dyDescent="0.3">
      <c r="A82">
        <f>Overall!$B$1+K82</f>
        <v>2105</v>
      </c>
      <c r="B82">
        <f>A82-Overall!$B$7</f>
        <v>135</v>
      </c>
      <c r="C82" s="104">
        <f>IF(K82&lt;=0,Overall!$B$89,H81)</f>
        <v>0</v>
      </c>
      <c r="D82" s="22">
        <f t="shared" si="19"/>
        <v>26880</v>
      </c>
      <c r="E82" s="22">
        <f t="shared" si="20"/>
        <v>93975.60000000002</v>
      </c>
      <c r="F82" s="22">
        <f t="shared" si="21"/>
        <v>67095.60000000002</v>
      </c>
      <c r="G82" s="22">
        <f t="shared" si="22"/>
        <v>0</v>
      </c>
      <c r="H82" s="13">
        <f t="shared" si="23"/>
        <v>0</v>
      </c>
      <c r="K82">
        <f t="shared" si="27"/>
        <v>80</v>
      </c>
      <c r="L82">
        <f>A82-Overall!$D$7</f>
        <v>135</v>
      </c>
      <c r="M82" s="80">
        <f>IF(Overall!$B$42&gt;0,Overall!$B$42,MIN(100,(MAX(20,120-B82)))/100)</f>
        <v>0.2</v>
      </c>
      <c r="N82" s="10">
        <f>((1+(Overall!$D$43*M82+Overall!$D$44*(1-M82))) / (1+Overall!$B$45-Overall!$D$45)) -1</f>
        <v>1.6585365853658551E-2</v>
      </c>
      <c r="O82" s="1">
        <f>POWER(1+Overall!$D$45,$K82+1)</f>
        <v>1</v>
      </c>
      <c r="P82" s="1">
        <f>1/POWER((1+Overall!$B$45-Overall!$D$45),$K82+1)</f>
        <v>0.13532153118823087</v>
      </c>
      <c r="Q82" s="104">
        <f>O82*SUMIFS(Expenses!$D$4:'Expenses'!$D$70,Expenses!$E$4:'Expenses'!$E$70,"&lt;="&amp;A82,Expenses!$F$4:'Expenses'!$F$70,"&gt;"&amp;A82,Expenses!$G$4:'Expenses'!$G$70,"=TRUE")*(1+Overall!$B$98)</f>
        <v>90750.000000000015</v>
      </c>
      <c r="R82" s="104">
        <f>P82*SUMIFS(Expenses!$D$4:'Expenses'!$D$70,Expenses!$E$4:'Expenses'!$E$70,"&lt;="&amp;A82,Expenses!$F$4:'Expenses'!$F$70,"&gt;"&amp;A82,Expenses!$G$4:'Expenses'!$G$70,"=FALSE")</f>
        <v>0</v>
      </c>
      <c r="S82" s="46">
        <f>O82*SUMIFS(Income!$D$2:'Income'!$D$47,Income!$E$2:'Income'!$E$47,"&lt;="&amp;A82,Income!$F$2:'Income'!$F$47,"&gt;"&amp;A82,Income!$G$2:'Income'!$G$47,"=TRUE")</f>
        <v>26880</v>
      </c>
      <c r="T82" s="46">
        <f>P82*SUMIFS(Income!$D$2:'Income'!$D$47,Income!$E$2:'Income'!$E$47,"&lt;="&amp;A82,Income!$F$2:'Income'!$F$47,"&gt;"&amp;A82,Income!$G$2:'Income'!$G$47,"=FALSE")</f>
        <v>0</v>
      </c>
      <c r="U82" s="46">
        <f t="shared" si="24"/>
        <v>90750.000000000015</v>
      </c>
      <c r="V82" s="22">
        <f>MIN( MAX( (Overall!$B$65*AVERAGE(B82,L82)*C82*(1+N82)), MAX(U82-D82,0)), C82*(1+N82)) * Overall!$B$66</f>
        <v>0</v>
      </c>
      <c r="W82" s="22">
        <f t="shared" si="25"/>
        <v>26880</v>
      </c>
      <c r="X82" s="78">
        <f>IF(W82&lt;=Overall!$D$59*O82,Overall!$B$58,IF(W82&lt;=Overall!$D$61*O82,Overall!$B$60,Overall!$B$62))</f>
        <v>0.12</v>
      </c>
      <c r="Y82" s="22">
        <f t="shared" si="26"/>
        <v>3225.6</v>
      </c>
      <c r="Z82" s="10">
        <f t="shared" si="28"/>
        <v>0</v>
      </c>
    </row>
    <row r="83" spans="1:26" x14ac:dyDescent="0.3">
      <c r="A83">
        <f>Overall!$B$1+K83</f>
        <v>2106</v>
      </c>
      <c r="B83">
        <f>A83-Overall!$B$7</f>
        <v>136</v>
      </c>
      <c r="C83" s="104">
        <f>IF(K83&lt;=0,Overall!$B$89,H82)</f>
        <v>0</v>
      </c>
      <c r="D83" s="22">
        <f t="shared" si="19"/>
        <v>26880</v>
      </c>
      <c r="E83" s="22">
        <f t="shared" si="20"/>
        <v>93975.60000000002</v>
      </c>
      <c r="F83" s="22">
        <f t="shared" si="21"/>
        <v>67095.60000000002</v>
      </c>
      <c r="G83" s="22">
        <f t="shared" si="22"/>
        <v>0</v>
      </c>
      <c r="H83" s="13">
        <f t="shared" si="23"/>
        <v>0</v>
      </c>
      <c r="K83">
        <f t="shared" si="27"/>
        <v>81</v>
      </c>
      <c r="L83">
        <f>A83-Overall!$D$7</f>
        <v>136</v>
      </c>
      <c r="M83" s="80">
        <f>IF(Overall!$B$42&gt;0,Overall!$B$42,MIN(100,(MAX(20,120-B83)))/100)</f>
        <v>0.2</v>
      </c>
      <c r="N83" s="10">
        <f>((1+(Overall!$D$43*M83+Overall!$D$44*(1-M83))) / (1+Overall!$B$45-Overall!$D$45)) -1</f>
        <v>1.6585365853658551E-2</v>
      </c>
      <c r="O83" s="1">
        <f>POWER(1+Overall!$D$45,$K83+1)</f>
        <v>1</v>
      </c>
      <c r="P83" s="1">
        <f>1/POWER((1+Overall!$B$45-Overall!$D$45),$K83+1)</f>
        <v>0.13202100603729841</v>
      </c>
      <c r="Q83" s="104">
        <f>O83*SUMIFS(Expenses!$D$4:'Expenses'!$D$70,Expenses!$E$4:'Expenses'!$E$70,"&lt;="&amp;A83,Expenses!$F$4:'Expenses'!$F$70,"&gt;"&amp;A83,Expenses!$G$4:'Expenses'!$G$70,"=TRUE")*(1+Overall!$B$98)</f>
        <v>90750.000000000015</v>
      </c>
      <c r="R83" s="104">
        <f>P83*SUMIFS(Expenses!$D$4:'Expenses'!$D$70,Expenses!$E$4:'Expenses'!$E$70,"&lt;="&amp;A83,Expenses!$F$4:'Expenses'!$F$70,"&gt;"&amp;A83,Expenses!$G$4:'Expenses'!$G$70,"=FALSE")</f>
        <v>0</v>
      </c>
      <c r="S83" s="46">
        <f>O83*SUMIFS(Income!$D$2:'Income'!$D$47,Income!$E$2:'Income'!$E$47,"&lt;="&amp;A83,Income!$F$2:'Income'!$F$47,"&gt;"&amp;A83,Income!$G$2:'Income'!$G$47,"=TRUE")</f>
        <v>26880</v>
      </c>
      <c r="T83" s="46">
        <f>P83*SUMIFS(Income!$D$2:'Income'!$D$47,Income!$E$2:'Income'!$E$47,"&lt;="&amp;A83,Income!$F$2:'Income'!$F$47,"&gt;"&amp;A83,Income!$G$2:'Income'!$G$47,"=FALSE")</f>
        <v>0</v>
      </c>
      <c r="U83" s="46">
        <f t="shared" si="24"/>
        <v>90750.000000000015</v>
      </c>
      <c r="V83" s="22">
        <f>MIN( MAX( (Overall!$B$65*AVERAGE(B83,L83)*C83*(1+N83)), MAX(U83-D83,0)), C83*(1+N83)) * Overall!$B$66</f>
        <v>0</v>
      </c>
      <c r="W83" s="22">
        <f t="shared" si="25"/>
        <v>26880</v>
      </c>
      <c r="X83" s="78">
        <f>IF(W83&lt;=Overall!$D$59*O83,Overall!$B$58,IF(W83&lt;=Overall!$D$61*O83,Overall!$B$60,Overall!$B$62))</f>
        <v>0.12</v>
      </c>
      <c r="Y83" s="22">
        <f t="shared" si="26"/>
        <v>3225.6</v>
      </c>
      <c r="Z83" s="10">
        <f t="shared" si="28"/>
        <v>0</v>
      </c>
    </row>
    <row r="84" spans="1:26" x14ac:dyDescent="0.3">
      <c r="A84">
        <f>Overall!$B$1+K84</f>
        <v>2107</v>
      </c>
      <c r="B84">
        <f>A84-Overall!$B$7</f>
        <v>137</v>
      </c>
      <c r="C84" s="104">
        <f>IF(K84&lt;=0,Overall!$B$89,H83)</f>
        <v>0</v>
      </c>
      <c r="D84" s="22">
        <f t="shared" si="19"/>
        <v>26880</v>
      </c>
      <c r="E84" s="22">
        <f t="shared" si="20"/>
        <v>93975.60000000002</v>
      </c>
      <c r="F84" s="22">
        <f t="shared" si="21"/>
        <v>67095.60000000002</v>
      </c>
      <c r="G84" s="22">
        <f t="shared" si="22"/>
        <v>0</v>
      </c>
      <c r="H84" s="13">
        <f t="shared" si="23"/>
        <v>0</v>
      </c>
      <c r="K84">
        <f t="shared" si="27"/>
        <v>82</v>
      </c>
      <c r="L84">
        <f>A84-Overall!$D$7</f>
        <v>137</v>
      </c>
      <c r="M84" s="80">
        <f>IF(Overall!$B$42&gt;0,Overall!$B$42,MIN(100,(MAX(20,120-B84)))/100)</f>
        <v>0.2</v>
      </c>
      <c r="N84" s="10">
        <f>((1+(Overall!$D$43*M84+Overall!$D$44*(1-M84))) / (1+Overall!$B$45-Overall!$D$45)) -1</f>
        <v>1.6585365853658551E-2</v>
      </c>
      <c r="O84" s="1">
        <f>POWER(1+Overall!$D$45,$K84+1)</f>
        <v>1</v>
      </c>
      <c r="P84" s="1">
        <f>1/POWER((1+Overall!$B$45-Overall!$D$45),$K84+1)</f>
        <v>0.12880098149980332</v>
      </c>
      <c r="Q84" s="104">
        <f>O84*SUMIFS(Expenses!$D$4:'Expenses'!$D$70,Expenses!$E$4:'Expenses'!$E$70,"&lt;="&amp;A84,Expenses!$F$4:'Expenses'!$F$70,"&gt;"&amp;A84,Expenses!$G$4:'Expenses'!$G$70,"=TRUE")*(1+Overall!$B$98)</f>
        <v>90750.000000000015</v>
      </c>
      <c r="R84" s="104">
        <f>P84*SUMIFS(Expenses!$D$4:'Expenses'!$D$70,Expenses!$E$4:'Expenses'!$E$70,"&lt;="&amp;A84,Expenses!$F$4:'Expenses'!$F$70,"&gt;"&amp;A84,Expenses!$G$4:'Expenses'!$G$70,"=FALSE")</f>
        <v>0</v>
      </c>
      <c r="S84" s="46">
        <f>O84*SUMIFS(Income!$D$2:'Income'!$D$47,Income!$E$2:'Income'!$E$47,"&lt;="&amp;A84,Income!$F$2:'Income'!$F$47,"&gt;"&amp;A84,Income!$G$2:'Income'!$G$47,"=TRUE")</f>
        <v>26880</v>
      </c>
      <c r="T84" s="46">
        <f>P84*SUMIFS(Income!$D$2:'Income'!$D$47,Income!$E$2:'Income'!$E$47,"&lt;="&amp;A84,Income!$F$2:'Income'!$F$47,"&gt;"&amp;A84,Income!$G$2:'Income'!$G$47,"=FALSE")</f>
        <v>0</v>
      </c>
      <c r="U84" s="46">
        <f t="shared" si="24"/>
        <v>90750.000000000015</v>
      </c>
      <c r="V84" s="22">
        <f>MIN( MAX( (Overall!$B$65*AVERAGE(B84,L84)*C84*(1+N84)), MAX(U84-D84,0)), C84*(1+N84)) * Overall!$B$66</f>
        <v>0</v>
      </c>
      <c r="W84" s="22">
        <f t="shared" si="25"/>
        <v>26880</v>
      </c>
      <c r="X84" s="78">
        <f>IF(W84&lt;=Overall!$D$59*O84,Overall!$B$58,IF(W84&lt;=Overall!$D$61*O84,Overall!$B$60,Overall!$B$62))</f>
        <v>0.12</v>
      </c>
      <c r="Y84" s="22">
        <f t="shared" si="26"/>
        <v>3225.6</v>
      </c>
      <c r="Z84" s="10">
        <f t="shared" si="28"/>
        <v>0</v>
      </c>
    </row>
    <row r="85" spans="1:26" x14ac:dyDescent="0.3">
      <c r="A85">
        <f>Overall!$B$1+K85</f>
        <v>2108</v>
      </c>
      <c r="B85">
        <f>A85-Overall!$B$7</f>
        <v>138</v>
      </c>
      <c r="C85" s="104">
        <f>IF(K85&lt;=0,Overall!$B$89,H84)</f>
        <v>0</v>
      </c>
      <c r="D85" s="22">
        <f t="shared" si="19"/>
        <v>26880</v>
      </c>
      <c r="E85" s="22">
        <f t="shared" si="20"/>
        <v>93975.60000000002</v>
      </c>
      <c r="F85" s="22">
        <f t="shared" si="21"/>
        <v>67095.60000000002</v>
      </c>
      <c r="G85" s="22">
        <f t="shared" si="22"/>
        <v>0</v>
      </c>
      <c r="H85" s="13">
        <f t="shared" si="23"/>
        <v>0</v>
      </c>
      <c r="K85">
        <f t="shared" si="27"/>
        <v>83</v>
      </c>
      <c r="L85">
        <f>A85-Overall!$D$7</f>
        <v>138</v>
      </c>
      <c r="M85" s="80">
        <f>IF(Overall!$B$42&gt;0,Overall!$B$42,MIN(100,(MAX(20,120-B85)))/100)</f>
        <v>0.2</v>
      </c>
      <c r="N85" s="10">
        <f>((1+(Overall!$D$43*M85+Overall!$D$44*(1-M85))) / (1+Overall!$B$45-Overall!$D$45)) -1</f>
        <v>1.6585365853658551E-2</v>
      </c>
      <c r="O85" s="1">
        <f>POWER(1+Overall!$D$45,$K85+1)</f>
        <v>1</v>
      </c>
      <c r="P85" s="1">
        <f>1/POWER((1+Overall!$B$45-Overall!$D$45),$K85+1)</f>
        <v>0.1256594941461496</v>
      </c>
      <c r="Q85" s="104">
        <f>O85*SUMIFS(Expenses!$D$4:'Expenses'!$D$70,Expenses!$E$4:'Expenses'!$E$70,"&lt;="&amp;A85,Expenses!$F$4:'Expenses'!$F$70,"&gt;"&amp;A85,Expenses!$G$4:'Expenses'!$G$70,"=TRUE")*(1+Overall!$B$98)</f>
        <v>90750.000000000015</v>
      </c>
      <c r="R85" s="104">
        <f>P85*SUMIFS(Expenses!$D$4:'Expenses'!$D$70,Expenses!$E$4:'Expenses'!$E$70,"&lt;="&amp;A85,Expenses!$F$4:'Expenses'!$F$70,"&gt;"&amp;A85,Expenses!$G$4:'Expenses'!$G$70,"=FALSE")</f>
        <v>0</v>
      </c>
      <c r="S85" s="46">
        <f>O85*SUMIFS(Income!$D$2:'Income'!$D$47,Income!$E$2:'Income'!$E$47,"&lt;="&amp;A85,Income!$F$2:'Income'!$F$47,"&gt;"&amp;A85,Income!$G$2:'Income'!$G$47,"=TRUE")</f>
        <v>26880</v>
      </c>
      <c r="T85" s="46">
        <f>P85*SUMIFS(Income!$D$2:'Income'!$D$47,Income!$E$2:'Income'!$E$47,"&lt;="&amp;A85,Income!$F$2:'Income'!$F$47,"&gt;"&amp;A85,Income!$G$2:'Income'!$G$47,"=FALSE")</f>
        <v>0</v>
      </c>
      <c r="U85" s="46">
        <f t="shared" si="24"/>
        <v>90750.000000000015</v>
      </c>
      <c r="V85" s="22">
        <f>MIN( MAX( (Overall!$B$65*AVERAGE(B85,L85)*C85*(1+N85)), MAX(U85-D85,0)), C85*(1+N85)) * Overall!$B$66</f>
        <v>0</v>
      </c>
      <c r="W85" s="22">
        <f t="shared" si="25"/>
        <v>26880</v>
      </c>
      <c r="X85" s="78">
        <f>IF(W85&lt;=Overall!$D$59*O85,Overall!$B$58,IF(W85&lt;=Overall!$D$61*O85,Overall!$B$60,Overall!$B$62))</f>
        <v>0.12</v>
      </c>
      <c r="Y85" s="22">
        <f t="shared" si="26"/>
        <v>3225.6</v>
      </c>
      <c r="Z85" s="10">
        <f t="shared" si="28"/>
        <v>0</v>
      </c>
    </row>
    <row r="86" spans="1:26" x14ac:dyDescent="0.3">
      <c r="A86">
        <f>Overall!$B$1+K86</f>
        <v>2109</v>
      </c>
      <c r="B86">
        <f>A86-Overall!$B$7</f>
        <v>139</v>
      </c>
      <c r="C86" s="104">
        <f>IF(K86&lt;=0,Overall!$B$89,H85)</f>
        <v>0</v>
      </c>
      <c r="D86" s="22">
        <f t="shared" si="19"/>
        <v>26880</v>
      </c>
      <c r="E86" s="22">
        <f t="shared" si="20"/>
        <v>93975.60000000002</v>
      </c>
      <c r="F86" s="22">
        <f t="shared" si="21"/>
        <v>67095.60000000002</v>
      </c>
      <c r="G86" s="22">
        <f t="shared" si="22"/>
        <v>0</v>
      </c>
      <c r="H86" s="13">
        <f t="shared" si="23"/>
        <v>0</v>
      </c>
      <c r="K86">
        <f t="shared" si="27"/>
        <v>84</v>
      </c>
      <c r="L86">
        <f>A86-Overall!$D$7</f>
        <v>139</v>
      </c>
      <c r="M86" s="80">
        <f>IF(Overall!$B$42&gt;0,Overall!$B$42,MIN(100,(MAX(20,120-B86)))/100)</f>
        <v>0.2</v>
      </c>
      <c r="N86" s="10">
        <f>((1+(Overall!$D$43*M86+Overall!$D$44*(1-M86))) / (1+Overall!$B$45-Overall!$D$45)) -1</f>
        <v>1.6585365853658551E-2</v>
      </c>
      <c r="O86" s="1">
        <f>POWER(1+Overall!$D$45,$K86+1)</f>
        <v>1</v>
      </c>
      <c r="P86" s="1">
        <f>1/POWER((1+Overall!$B$45-Overall!$D$45),$K86+1)</f>
        <v>0.1225946284352679</v>
      </c>
      <c r="Q86" s="104">
        <f>O86*SUMIFS(Expenses!$D$4:'Expenses'!$D$70,Expenses!$E$4:'Expenses'!$E$70,"&lt;="&amp;A86,Expenses!$F$4:'Expenses'!$F$70,"&gt;"&amp;A86,Expenses!$G$4:'Expenses'!$G$70,"=TRUE")*(1+Overall!$B$98)</f>
        <v>90750.000000000015</v>
      </c>
      <c r="R86" s="104">
        <f>P86*SUMIFS(Expenses!$D$4:'Expenses'!$D$70,Expenses!$E$4:'Expenses'!$E$70,"&lt;="&amp;A86,Expenses!$F$4:'Expenses'!$F$70,"&gt;"&amp;A86,Expenses!$G$4:'Expenses'!$G$70,"=FALSE")</f>
        <v>0</v>
      </c>
      <c r="S86" s="46">
        <f>O86*SUMIFS(Income!$D$2:'Income'!$D$47,Income!$E$2:'Income'!$E$47,"&lt;="&amp;A86,Income!$F$2:'Income'!$F$47,"&gt;"&amp;A86,Income!$G$2:'Income'!$G$47,"=TRUE")</f>
        <v>26880</v>
      </c>
      <c r="T86" s="46">
        <f>P86*SUMIFS(Income!$D$2:'Income'!$D$47,Income!$E$2:'Income'!$E$47,"&lt;="&amp;A86,Income!$F$2:'Income'!$F$47,"&gt;"&amp;A86,Income!$G$2:'Income'!$G$47,"=FALSE")</f>
        <v>0</v>
      </c>
      <c r="U86" s="46">
        <f t="shared" si="24"/>
        <v>90750.000000000015</v>
      </c>
      <c r="V86" s="22">
        <f>MIN( MAX( (Overall!$B$65*AVERAGE(B86,L86)*C86*(1+N86)), MAX(U86-D86,0)), C86*(1+N86)) * Overall!$B$66</f>
        <v>0</v>
      </c>
      <c r="W86" s="22">
        <f t="shared" si="25"/>
        <v>26880</v>
      </c>
      <c r="X86" s="78">
        <f>IF(W86&lt;=Overall!$D$59*O86,Overall!$B$58,IF(W86&lt;=Overall!$D$61*O86,Overall!$B$60,Overall!$B$62))</f>
        <v>0.12</v>
      </c>
      <c r="Y86" s="22">
        <f t="shared" si="26"/>
        <v>3225.6</v>
      </c>
      <c r="Z86" s="10">
        <f t="shared" si="28"/>
        <v>0</v>
      </c>
    </row>
    <row r="87" spans="1:26" x14ac:dyDescent="0.3">
      <c r="A87">
        <f>Overall!$B$1+K87</f>
        <v>2110</v>
      </c>
      <c r="B87">
        <f>A87-Overall!$B$7</f>
        <v>140</v>
      </c>
      <c r="C87" s="104">
        <f>IF(K87&lt;=0,Overall!$B$89,H86)</f>
        <v>0</v>
      </c>
      <c r="D87" s="22">
        <f t="shared" si="19"/>
        <v>26880</v>
      </c>
      <c r="E87" s="22">
        <f t="shared" si="20"/>
        <v>93975.60000000002</v>
      </c>
      <c r="F87" s="22">
        <f t="shared" si="21"/>
        <v>67095.60000000002</v>
      </c>
      <c r="G87" s="22">
        <f t="shared" si="22"/>
        <v>0</v>
      </c>
      <c r="H87" s="13">
        <f t="shared" si="23"/>
        <v>0</v>
      </c>
      <c r="K87">
        <f t="shared" si="27"/>
        <v>85</v>
      </c>
      <c r="L87">
        <f>A87-Overall!$D$7</f>
        <v>140</v>
      </c>
      <c r="M87" s="80">
        <f>IF(Overall!$B$42&gt;0,Overall!$B$42,MIN(100,(MAX(20,120-B87)))/100)</f>
        <v>0.2</v>
      </c>
      <c r="N87" s="10">
        <f>((1+(Overall!$D$43*M87+Overall!$D$44*(1-M87))) / (1+Overall!$B$45-Overall!$D$45)) -1</f>
        <v>1.6585365853658551E-2</v>
      </c>
      <c r="O87" s="1">
        <f>POWER(1+Overall!$D$45,$K87+1)</f>
        <v>1</v>
      </c>
      <c r="P87" s="1">
        <f>1/POWER((1+Overall!$B$45-Overall!$D$45),$K87+1)</f>
        <v>0.11960451554660284</v>
      </c>
      <c r="Q87" s="104">
        <f>O87*SUMIFS(Expenses!$D$4:'Expenses'!$D$70,Expenses!$E$4:'Expenses'!$E$70,"&lt;="&amp;A87,Expenses!$F$4:'Expenses'!$F$70,"&gt;"&amp;A87,Expenses!$G$4:'Expenses'!$G$70,"=TRUE")*(1+Overall!$B$98)</f>
        <v>90750.000000000015</v>
      </c>
      <c r="R87" s="104">
        <f>P87*SUMIFS(Expenses!$D$4:'Expenses'!$D$70,Expenses!$E$4:'Expenses'!$E$70,"&lt;="&amp;A87,Expenses!$F$4:'Expenses'!$F$70,"&gt;"&amp;A87,Expenses!$G$4:'Expenses'!$G$70,"=FALSE")</f>
        <v>0</v>
      </c>
      <c r="S87" s="46">
        <f>O87*SUMIFS(Income!$D$2:'Income'!$D$47,Income!$E$2:'Income'!$E$47,"&lt;="&amp;A87,Income!$F$2:'Income'!$F$47,"&gt;"&amp;A87,Income!$G$2:'Income'!$G$47,"=TRUE")</f>
        <v>26880</v>
      </c>
      <c r="T87" s="46">
        <f>P87*SUMIFS(Income!$D$2:'Income'!$D$47,Income!$E$2:'Income'!$E$47,"&lt;="&amp;A87,Income!$F$2:'Income'!$F$47,"&gt;"&amp;A87,Income!$G$2:'Income'!$G$47,"=FALSE")</f>
        <v>0</v>
      </c>
      <c r="U87" s="46">
        <f t="shared" si="24"/>
        <v>90750.000000000015</v>
      </c>
      <c r="V87" s="22">
        <f>MIN( MAX( (Overall!$B$65*AVERAGE(B87,L87)*C87*(1+N87)), MAX(U87-D87,0)), C87*(1+N87)) * Overall!$B$66</f>
        <v>0</v>
      </c>
      <c r="W87" s="22">
        <f t="shared" si="25"/>
        <v>26880</v>
      </c>
      <c r="X87" s="78">
        <f>IF(W87&lt;=Overall!$D$59*O87,Overall!$B$58,IF(W87&lt;=Overall!$D$61*O87,Overall!$B$60,Overall!$B$62))</f>
        <v>0.12</v>
      </c>
      <c r="Y87" s="22">
        <f t="shared" si="26"/>
        <v>3225.6</v>
      </c>
      <c r="Z87" s="10">
        <f t="shared" si="28"/>
        <v>0</v>
      </c>
    </row>
    <row r="88" spans="1:26" x14ac:dyDescent="0.3">
      <c r="A88">
        <f>Overall!$B$1+K88</f>
        <v>2111</v>
      </c>
      <c r="B88">
        <f>A88-Overall!$B$7</f>
        <v>141</v>
      </c>
      <c r="C88" s="104">
        <f>IF(K88&lt;=0,Overall!$B$89,H87)</f>
        <v>0</v>
      </c>
      <c r="D88" s="22">
        <f t="shared" si="19"/>
        <v>26880</v>
      </c>
      <c r="E88" s="22">
        <f t="shared" si="20"/>
        <v>93975.60000000002</v>
      </c>
      <c r="F88" s="22">
        <f t="shared" si="21"/>
        <v>67095.60000000002</v>
      </c>
      <c r="G88" s="22">
        <f t="shared" si="22"/>
        <v>0</v>
      </c>
      <c r="H88" s="13">
        <f t="shared" si="23"/>
        <v>0</v>
      </c>
      <c r="K88">
        <f t="shared" si="27"/>
        <v>86</v>
      </c>
      <c r="L88">
        <f>A88-Overall!$D$7</f>
        <v>141</v>
      </c>
      <c r="M88" s="80">
        <f>IF(Overall!$B$42&gt;0,Overall!$B$42,MIN(100,(MAX(20,120-B88)))/100)</f>
        <v>0.2</v>
      </c>
      <c r="N88" s="10">
        <f>((1+(Overall!$D$43*M88+Overall!$D$44*(1-M88))) / (1+Overall!$B$45-Overall!$D$45)) -1</f>
        <v>1.6585365853658551E-2</v>
      </c>
      <c r="O88" s="1">
        <f>POWER(1+Overall!$D$45,$K88+1)</f>
        <v>1</v>
      </c>
      <c r="P88" s="1">
        <f>1/POWER((1+Overall!$B$45-Overall!$D$45),$K88+1)</f>
        <v>0.11668733224058814</v>
      </c>
      <c r="Q88" s="104">
        <f>O88*SUMIFS(Expenses!$D$4:'Expenses'!$D$70,Expenses!$E$4:'Expenses'!$E$70,"&lt;="&amp;A88,Expenses!$F$4:'Expenses'!$F$70,"&gt;"&amp;A88,Expenses!$G$4:'Expenses'!$G$70,"=TRUE")*(1+Overall!$B$98)</f>
        <v>90750.000000000015</v>
      </c>
      <c r="R88" s="104">
        <f>P88*SUMIFS(Expenses!$D$4:'Expenses'!$D$70,Expenses!$E$4:'Expenses'!$E$70,"&lt;="&amp;A88,Expenses!$F$4:'Expenses'!$F$70,"&gt;"&amp;A88,Expenses!$G$4:'Expenses'!$G$70,"=FALSE")</f>
        <v>0</v>
      </c>
      <c r="S88" s="46">
        <f>O88*SUMIFS(Income!$D$2:'Income'!$D$47,Income!$E$2:'Income'!$E$47,"&lt;="&amp;A88,Income!$F$2:'Income'!$F$47,"&gt;"&amp;A88,Income!$G$2:'Income'!$G$47,"=TRUE")</f>
        <v>26880</v>
      </c>
      <c r="T88" s="46">
        <f>P88*SUMIFS(Income!$D$2:'Income'!$D$47,Income!$E$2:'Income'!$E$47,"&lt;="&amp;A88,Income!$F$2:'Income'!$F$47,"&gt;"&amp;A88,Income!$G$2:'Income'!$G$47,"=FALSE")</f>
        <v>0</v>
      </c>
      <c r="U88" s="46">
        <f t="shared" si="24"/>
        <v>90750.000000000015</v>
      </c>
      <c r="V88" s="22">
        <f>MIN( MAX( (Overall!$B$65*AVERAGE(B88,L88)*C88*(1+N88)), MAX(U88-D88,0)), C88*(1+N88)) * Overall!$B$66</f>
        <v>0</v>
      </c>
      <c r="W88" s="22">
        <f t="shared" si="25"/>
        <v>26880</v>
      </c>
      <c r="X88" s="78">
        <f>IF(W88&lt;=Overall!$D$59*O88,Overall!$B$58,IF(W88&lt;=Overall!$D$61*O88,Overall!$B$60,Overall!$B$62))</f>
        <v>0.12</v>
      </c>
      <c r="Y88" s="22">
        <f t="shared" si="26"/>
        <v>3225.6</v>
      </c>
      <c r="Z88" s="10">
        <f t="shared" si="28"/>
        <v>0</v>
      </c>
    </row>
    <row r="89" spans="1:26" x14ac:dyDescent="0.3">
      <c r="A89">
        <f>Overall!$B$1+K89</f>
        <v>2112</v>
      </c>
      <c r="B89">
        <f>A89-Overall!$B$7</f>
        <v>142</v>
      </c>
      <c r="C89" s="104">
        <f>IF(K89&lt;=0,Overall!$B$89,H88)</f>
        <v>0</v>
      </c>
      <c r="D89" s="22">
        <f t="shared" si="19"/>
        <v>26880</v>
      </c>
      <c r="E89" s="22">
        <f t="shared" si="20"/>
        <v>93975.60000000002</v>
      </c>
      <c r="F89" s="22">
        <f t="shared" si="21"/>
        <v>67095.60000000002</v>
      </c>
      <c r="G89" s="22">
        <f t="shared" si="22"/>
        <v>0</v>
      </c>
      <c r="H89" s="13">
        <f t="shared" si="23"/>
        <v>0</v>
      </c>
      <c r="K89">
        <f t="shared" si="27"/>
        <v>87</v>
      </c>
      <c r="L89">
        <f>A89-Overall!$D$7</f>
        <v>142</v>
      </c>
      <c r="M89" s="80">
        <f>IF(Overall!$B$42&gt;0,Overall!$B$42,MIN(100,(MAX(20,120-B89)))/100)</f>
        <v>0.2</v>
      </c>
      <c r="N89" s="10">
        <f>((1+(Overall!$D$43*M89+Overall!$D$44*(1-M89))) / (1+Overall!$B$45-Overall!$D$45)) -1</f>
        <v>1.6585365853658551E-2</v>
      </c>
      <c r="O89" s="1">
        <f>POWER(1+Overall!$D$45,$K89+1)</f>
        <v>1</v>
      </c>
      <c r="P89" s="1">
        <f>1/POWER((1+Overall!$B$45-Overall!$D$45),$K89+1)</f>
        <v>0.11384129974691526</v>
      </c>
      <c r="Q89" s="104">
        <f>O89*SUMIFS(Expenses!$D$4:'Expenses'!$D$70,Expenses!$E$4:'Expenses'!$E$70,"&lt;="&amp;A89,Expenses!$F$4:'Expenses'!$F$70,"&gt;"&amp;A89,Expenses!$G$4:'Expenses'!$G$70,"=TRUE")*(1+Overall!$B$98)</f>
        <v>90750.000000000015</v>
      </c>
      <c r="R89" s="104">
        <f>P89*SUMIFS(Expenses!$D$4:'Expenses'!$D$70,Expenses!$E$4:'Expenses'!$E$70,"&lt;="&amp;A89,Expenses!$F$4:'Expenses'!$F$70,"&gt;"&amp;A89,Expenses!$G$4:'Expenses'!$G$70,"=FALSE")</f>
        <v>0</v>
      </c>
      <c r="S89" s="46">
        <f>O89*SUMIFS(Income!$D$2:'Income'!$D$47,Income!$E$2:'Income'!$E$47,"&lt;="&amp;A89,Income!$F$2:'Income'!$F$47,"&gt;"&amp;A89,Income!$G$2:'Income'!$G$47,"=TRUE")</f>
        <v>26880</v>
      </c>
      <c r="T89" s="46">
        <f>P89*SUMIFS(Income!$D$2:'Income'!$D$47,Income!$E$2:'Income'!$E$47,"&lt;="&amp;A89,Income!$F$2:'Income'!$F$47,"&gt;"&amp;A89,Income!$G$2:'Income'!$G$47,"=FALSE")</f>
        <v>0</v>
      </c>
      <c r="U89" s="46">
        <f t="shared" si="24"/>
        <v>90750.000000000015</v>
      </c>
      <c r="V89" s="22">
        <f>MIN( MAX( (Overall!$B$65*AVERAGE(B89,L89)*C89*(1+N89)), MAX(U89-D89,0)), C89*(1+N89)) * Overall!$B$66</f>
        <v>0</v>
      </c>
      <c r="W89" s="22">
        <f t="shared" si="25"/>
        <v>26880</v>
      </c>
      <c r="X89" s="78">
        <f>IF(W89&lt;=Overall!$D$59*O89,Overall!$B$58,IF(W89&lt;=Overall!$D$61*O89,Overall!$B$60,Overall!$B$62))</f>
        <v>0.12</v>
      </c>
      <c r="Y89" s="22">
        <f t="shared" si="26"/>
        <v>3225.6</v>
      </c>
      <c r="Z89" s="10">
        <f t="shared" si="28"/>
        <v>0</v>
      </c>
    </row>
    <row r="90" spans="1:26" x14ac:dyDescent="0.3">
      <c r="A90">
        <f>Overall!$B$1+K90</f>
        <v>2113</v>
      </c>
      <c r="B90">
        <f>A90-Overall!$B$7</f>
        <v>143</v>
      </c>
      <c r="C90" s="104">
        <f>IF(K90&lt;=0,Overall!$B$89,H89)</f>
        <v>0</v>
      </c>
      <c r="D90" s="22">
        <f t="shared" si="19"/>
        <v>26880</v>
      </c>
      <c r="E90" s="22">
        <f t="shared" si="20"/>
        <v>93975.60000000002</v>
      </c>
      <c r="F90" s="22">
        <f t="shared" si="21"/>
        <v>67095.60000000002</v>
      </c>
      <c r="G90" s="22">
        <f t="shared" si="22"/>
        <v>0</v>
      </c>
      <c r="H90" s="13">
        <f t="shared" si="23"/>
        <v>0</v>
      </c>
      <c r="K90">
        <f t="shared" si="27"/>
        <v>88</v>
      </c>
      <c r="L90">
        <f>A90-Overall!$D$7</f>
        <v>143</v>
      </c>
      <c r="M90" s="80">
        <f>IF(Overall!$B$42&gt;0,Overall!$B$42,MIN(100,(MAX(20,120-B90)))/100)</f>
        <v>0.2</v>
      </c>
      <c r="N90" s="10">
        <f>((1+(Overall!$D$43*M90+Overall!$D$44*(1-M90))) / (1+Overall!$B$45-Overall!$D$45)) -1</f>
        <v>1.6585365853658551E-2</v>
      </c>
      <c r="O90" s="1">
        <f>POWER(1+Overall!$D$45,$K90+1)</f>
        <v>1</v>
      </c>
      <c r="P90" s="1">
        <f>1/POWER((1+Overall!$B$45-Overall!$D$45),$K90+1)</f>
        <v>0.11106468267991736</v>
      </c>
      <c r="Q90" s="104">
        <f>O90*SUMIFS(Expenses!$D$4:'Expenses'!$D$70,Expenses!$E$4:'Expenses'!$E$70,"&lt;="&amp;A90,Expenses!$F$4:'Expenses'!$F$70,"&gt;"&amp;A90,Expenses!$G$4:'Expenses'!$G$70,"=TRUE")*(1+Overall!$B$98)</f>
        <v>90750.000000000015</v>
      </c>
      <c r="R90" s="104">
        <f>P90*SUMIFS(Expenses!$D$4:'Expenses'!$D$70,Expenses!$E$4:'Expenses'!$E$70,"&lt;="&amp;A90,Expenses!$F$4:'Expenses'!$F$70,"&gt;"&amp;A90,Expenses!$G$4:'Expenses'!$G$70,"=FALSE")</f>
        <v>0</v>
      </c>
      <c r="S90" s="46">
        <f>O90*SUMIFS(Income!$D$2:'Income'!$D$47,Income!$E$2:'Income'!$E$47,"&lt;="&amp;A90,Income!$F$2:'Income'!$F$47,"&gt;"&amp;A90,Income!$G$2:'Income'!$G$47,"=TRUE")</f>
        <v>26880</v>
      </c>
      <c r="T90" s="46">
        <f>P90*SUMIFS(Income!$D$2:'Income'!$D$47,Income!$E$2:'Income'!$E$47,"&lt;="&amp;A90,Income!$F$2:'Income'!$F$47,"&gt;"&amp;A90,Income!$G$2:'Income'!$G$47,"=FALSE")</f>
        <v>0</v>
      </c>
      <c r="U90" s="46">
        <f t="shared" si="24"/>
        <v>90750.000000000015</v>
      </c>
      <c r="V90" s="22">
        <f>MIN( MAX( (Overall!$B$65*AVERAGE(B90,L90)*C90*(1+N90)), MAX(U90-D90,0)), C90*(1+N90)) * Overall!$B$66</f>
        <v>0</v>
      </c>
      <c r="W90" s="22">
        <f t="shared" si="25"/>
        <v>26880</v>
      </c>
      <c r="X90" s="78">
        <f>IF(W90&lt;=Overall!$D$59*O90,Overall!$B$58,IF(W90&lt;=Overall!$D$61*O90,Overall!$B$60,Overall!$B$62))</f>
        <v>0.12</v>
      </c>
      <c r="Y90" s="22">
        <f t="shared" si="26"/>
        <v>3225.6</v>
      </c>
      <c r="Z90" s="10">
        <f t="shared" si="28"/>
        <v>0</v>
      </c>
    </row>
    <row r="91" spans="1:26" x14ac:dyDescent="0.3">
      <c r="A91">
        <f>Overall!$B$1+K91</f>
        <v>2114</v>
      </c>
      <c r="B91">
        <f>A91-Overall!$B$7</f>
        <v>144</v>
      </c>
      <c r="C91" s="104">
        <f>IF(K91&lt;=0,Overall!$B$89,H90)</f>
        <v>0</v>
      </c>
      <c r="D91" s="22">
        <f t="shared" si="19"/>
        <v>26880</v>
      </c>
      <c r="E91" s="22">
        <f t="shared" si="20"/>
        <v>93975.60000000002</v>
      </c>
      <c r="F91" s="22">
        <f t="shared" si="21"/>
        <v>67095.60000000002</v>
      </c>
      <c r="G91" s="22">
        <f t="shared" si="22"/>
        <v>0</v>
      </c>
      <c r="H91" s="13">
        <f t="shared" si="23"/>
        <v>0</v>
      </c>
      <c r="K91">
        <f t="shared" si="27"/>
        <v>89</v>
      </c>
      <c r="L91">
        <f>A91-Overall!$D$7</f>
        <v>144</v>
      </c>
      <c r="M91" s="80">
        <f>IF(Overall!$B$42&gt;0,Overall!$B$42,MIN(100,(MAX(20,120-B91)))/100)</f>
        <v>0.2</v>
      </c>
      <c r="N91" s="10">
        <f>((1+(Overall!$D$43*M91+Overall!$D$44*(1-M91))) / (1+Overall!$B$45-Overall!$D$45)) -1</f>
        <v>1.6585365853658551E-2</v>
      </c>
      <c r="O91" s="1">
        <f>POWER(1+Overall!$D$45,$K91+1)</f>
        <v>1</v>
      </c>
      <c r="P91" s="1">
        <f>1/POWER((1+Overall!$B$45-Overall!$D$45),$K91+1)</f>
        <v>0.10835578798040717</v>
      </c>
      <c r="Q91" s="104">
        <f>O91*SUMIFS(Expenses!$D$4:'Expenses'!$D$70,Expenses!$E$4:'Expenses'!$E$70,"&lt;="&amp;A91,Expenses!$F$4:'Expenses'!$F$70,"&gt;"&amp;A91,Expenses!$G$4:'Expenses'!$G$70,"=TRUE")*(1+Overall!$B$98)</f>
        <v>90750.000000000015</v>
      </c>
      <c r="R91" s="104">
        <f>P91*SUMIFS(Expenses!$D$4:'Expenses'!$D$70,Expenses!$E$4:'Expenses'!$E$70,"&lt;="&amp;A91,Expenses!$F$4:'Expenses'!$F$70,"&gt;"&amp;A91,Expenses!$G$4:'Expenses'!$G$70,"=FALSE")</f>
        <v>0</v>
      </c>
      <c r="S91" s="46">
        <f>O91*SUMIFS(Income!$D$2:'Income'!$D$47,Income!$E$2:'Income'!$E$47,"&lt;="&amp;A91,Income!$F$2:'Income'!$F$47,"&gt;"&amp;A91,Income!$G$2:'Income'!$G$47,"=TRUE")</f>
        <v>26880</v>
      </c>
      <c r="T91" s="46">
        <f>P91*SUMIFS(Income!$D$2:'Income'!$D$47,Income!$E$2:'Income'!$E$47,"&lt;="&amp;A91,Income!$F$2:'Income'!$F$47,"&gt;"&amp;A91,Income!$G$2:'Income'!$G$47,"=FALSE")</f>
        <v>0</v>
      </c>
      <c r="U91" s="46">
        <f t="shared" si="24"/>
        <v>90750.000000000015</v>
      </c>
      <c r="V91" s="22">
        <f>MIN( MAX( (Overall!$B$65*AVERAGE(B91,L91)*C91*(1+N91)), MAX(U91-D91,0)), C91*(1+N91)) * Overall!$B$66</f>
        <v>0</v>
      </c>
      <c r="W91" s="22">
        <f t="shared" si="25"/>
        <v>26880</v>
      </c>
      <c r="X91" s="78">
        <f>IF(W91&lt;=Overall!$D$59*O91,Overall!$B$58,IF(W91&lt;=Overall!$D$61*O91,Overall!$B$60,Overall!$B$62))</f>
        <v>0.12</v>
      </c>
      <c r="Y91" s="22">
        <f t="shared" si="26"/>
        <v>3225.6</v>
      </c>
      <c r="Z91" s="10">
        <f t="shared" si="28"/>
        <v>0</v>
      </c>
    </row>
    <row r="92" spans="1:26" x14ac:dyDescent="0.3">
      <c r="A92">
        <f>Overall!$B$1+K92</f>
        <v>2115</v>
      </c>
      <c r="B92">
        <f>A92-Overall!$B$7</f>
        <v>145</v>
      </c>
      <c r="C92" s="104">
        <f>IF(K92&lt;=0,Overall!$B$89,H91)</f>
        <v>0</v>
      </c>
      <c r="D92" s="22">
        <f t="shared" si="19"/>
        <v>26880</v>
      </c>
      <c r="E92" s="22">
        <f t="shared" si="20"/>
        <v>93975.60000000002</v>
      </c>
      <c r="F92" s="22">
        <f t="shared" si="21"/>
        <v>67095.60000000002</v>
      </c>
      <c r="G92" s="22">
        <f t="shared" si="22"/>
        <v>0</v>
      </c>
      <c r="H92" s="13">
        <f t="shared" si="23"/>
        <v>0</v>
      </c>
      <c r="K92">
        <f t="shared" si="27"/>
        <v>90</v>
      </c>
      <c r="L92">
        <f>A92-Overall!$D$7</f>
        <v>145</v>
      </c>
      <c r="M92" s="80">
        <f>IF(Overall!$B$42&gt;0,Overall!$B$42,MIN(100,(MAX(20,120-B92)))/100)</f>
        <v>0.2</v>
      </c>
      <c r="N92" s="10">
        <f>((1+(Overall!$D$43*M92+Overall!$D$44*(1-M92))) / (1+Overall!$B$45-Overall!$D$45)) -1</f>
        <v>1.6585365853658551E-2</v>
      </c>
      <c r="O92" s="1">
        <f>POWER(1+Overall!$D$45,$K92+1)</f>
        <v>1</v>
      </c>
      <c r="P92" s="1">
        <f>1/POWER((1+Overall!$B$45-Overall!$D$45),$K92+1)</f>
        <v>0.10571296388332406</v>
      </c>
      <c r="Q92" s="104">
        <f>O92*SUMIFS(Expenses!$D$4:'Expenses'!$D$70,Expenses!$E$4:'Expenses'!$E$70,"&lt;="&amp;A92,Expenses!$F$4:'Expenses'!$F$70,"&gt;"&amp;A92,Expenses!$G$4:'Expenses'!$G$70,"=TRUE")*(1+Overall!$B$98)</f>
        <v>90750.000000000015</v>
      </c>
      <c r="R92" s="104">
        <f>P92*SUMIFS(Expenses!$D$4:'Expenses'!$D$70,Expenses!$E$4:'Expenses'!$E$70,"&lt;="&amp;A92,Expenses!$F$4:'Expenses'!$F$70,"&gt;"&amp;A92,Expenses!$G$4:'Expenses'!$G$70,"=FALSE")</f>
        <v>0</v>
      </c>
      <c r="S92" s="46">
        <f>O92*SUMIFS(Income!$D$2:'Income'!$D$47,Income!$E$2:'Income'!$E$47,"&lt;="&amp;A92,Income!$F$2:'Income'!$F$47,"&gt;"&amp;A92,Income!$G$2:'Income'!$G$47,"=TRUE")</f>
        <v>26880</v>
      </c>
      <c r="T92" s="46">
        <f>P92*SUMIFS(Income!$D$2:'Income'!$D$47,Income!$E$2:'Income'!$E$47,"&lt;="&amp;A92,Income!$F$2:'Income'!$F$47,"&gt;"&amp;A92,Income!$G$2:'Income'!$G$47,"=FALSE")</f>
        <v>0</v>
      </c>
      <c r="U92" s="46">
        <f t="shared" si="24"/>
        <v>90750.000000000015</v>
      </c>
      <c r="V92" s="22">
        <f>MIN( MAX( (Overall!$B$65*AVERAGE(B92,L92)*C92*(1+N92)), MAX(U92-D92,0)), C92*(1+N92)) * Overall!$B$66</f>
        <v>0</v>
      </c>
      <c r="W92" s="22">
        <f t="shared" si="25"/>
        <v>26880</v>
      </c>
      <c r="X92" s="78">
        <f>IF(W92&lt;=Overall!$D$59*O92,Overall!$B$58,IF(W92&lt;=Overall!$D$61*O92,Overall!$B$60,Overall!$B$62))</f>
        <v>0.12</v>
      </c>
      <c r="Y92" s="22">
        <f t="shared" si="26"/>
        <v>3225.6</v>
      </c>
      <c r="Z92" s="10">
        <f t="shared" si="28"/>
        <v>0</v>
      </c>
    </row>
    <row r="93" spans="1:26" x14ac:dyDescent="0.3">
      <c r="A93">
        <f>Overall!$B$1+K93</f>
        <v>2116</v>
      </c>
      <c r="B93">
        <f>A93-Overall!$B$7</f>
        <v>146</v>
      </c>
      <c r="C93" s="104">
        <f>IF(K93&lt;=0,Overall!$B$89,H92)</f>
        <v>0</v>
      </c>
      <c r="D93" s="22">
        <f t="shared" si="19"/>
        <v>26880</v>
      </c>
      <c r="E93" s="22">
        <f t="shared" si="20"/>
        <v>93975.60000000002</v>
      </c>
      <c r="F93" s="22">
        <f t="shared" si="21"/>
        <v>67095.60000000002</v>
      </c>
      <c r="G93" s="22">
        <f t="shared" si="22"/>
        <v>0</v>
      </c>
      <c r="H93" s="13">
        <f t="shared" si="23"/>
        <v>0</v>
      </c>
      <c r="K93">
        <f t="shared" si="27"/>
        <v>91</v>
      </c>
      <c r="L93">
        <f>A93-Overall!$D$7</f>
        <v>146</v>
      </c>
      <c r="M93" s="80">
        <f>IF(Overall!$B$42&gt;0,Overall!$B$42,MIN(100,(MAX(20,120-B93)))/100)</f>
        <v>0.2</v>
      </c>
      <c r="N93" s="10">
        <f>((1+(Overall!$D$43*M93+Overall!$D$44*(1-M93))) / (1+Overall!$B$45-Overall!$D$45)) -1</f>
        <v>1.6585365853658551E-2</v>
      </c>
      <c r="O93" s="1">
        <f>POWER(1+Overall!$D$45,$K93+1)</f>
        <v>1</v>
      </c>
      <c r="P93" s="1">
        <f>1/POWER((1+Overall!$B$45-Overall!$D$45),$K93+1)</f>
        <v>0.10313459891056008</v>
      </c>
      <c r="Q93" s="104">
        <f>O93*SUMIFS(Expenses!$D$4:'Expenses'!$D$70,Expenses!$E$4:'Expenses'!$E$70,"&lt;="&amp;A93,Expenses!$F$4:'Expenses'!$F$70,"&gt;"&amp;A93,Expenses!$G$4:'Expenses'!$G$70,"=TRUE")*(1+Overall!$B$98)</f>
        <v>90750.000000000015</v>
      </c>
      <c r="R93" s="104">
        <f>P93*SUMIFS(Expenses!$D$4:'Expenses'!$D$70,Expenses!$E$4:'Expenses'!$E$70,"&lt;="&amp;A93,Expenses!$F$4:'Expenses'!$F$70,"&gt;"&amp;A93,Expenses!$G$4:'Expenses'!$G$70,"=FALSE")</f>
        <v>0</v>
      </c>
      <c r="S93" s="46">
        <f>O93*SUMIFS(Income!$D$2:'Income'!$D$47,Income!$E$2:'Income'!$E$47,"&lt;="&amp;A93,Income!$F$2:'Income'!$F$47,"&gt;"&amp;A93,Income!$G$2:'Income'!$G$47,"=TRUE")</f>
        <v>26880</v>
      </c>
      <c r="T93" s="46">
        <f>P93*SUMIFS(Income!$D$2:'Income'!$D$47,Income!$E$2:'Income'!$E$47,"&lt;="&amp;A93,Income!$F$2:'Income'!$F$47,"&gt;"&amp;A93,Income!$G$2:'Income'!$G$47,"=FALSE")</f>
        <v>0</v>
      </c>
      <c r="U93" s="46">
        <f t="shared" si="24"/>
        <v>90750.000000000015</v>
      </c>
      <c r="V93" s="22">
        <f>MIN( MAX( (Overall!$B$65*AVERAGE(B93,L93)*C93*(1+N93)), MAX(U93-D93,0)), C93*(1+N93)) * Overall!$B$66</f>
        <v>0</v>
      </c>
      <c r="W93" s="22">
        <f t="shared" si="25"/>
        <v>26880</v>
      </c>
      <c r="X93" s="78">
        <f>IF(W93&lt;=Overall!$D$59*O93,Overall!$B$58,IF(W93&lt;=Overall!$D$61*O93,Overall!$B$60,Overall!$B$62))</f>
        <v>0.12</v>
      </c>
      <c r="Y93" s="22">
        <f t="shared" si="26"/>
        <v>3225.6</v>
      </c>
      <c r="Z93" s="10">
        <f t="shared" si="28"/>
        <v>0</v>
      </c>
    </row>
    <row r="94" spans="1:26" x14ac:dyDescent="0.3">
      <c r="A94">
        <f>Overall!$B$1+K94</f>
        <v>2117</v>
      </c>
      <c r="B94">
        <f>A94-Overall!$B$7</f>
        <v>147</v>
      </c>
      <c r="C94" s="104">
        <f>IF(K94&lt;=0,Overall!$B$89,H93)</f>
        <v>0</v>
      </c>
      <c r="D94" s="22">
        <f t="shared" si="19"/>
        <v>26880</v>
      </c>
      <c r="E94" s="22">
        <f t="shared" si="20"/>
        <v>93975.60000000002</v>
      </c>
      <c r="F94" s="22">
        <f t="shared" si="21"/>
        <v>67095.60000000002</v>
      </c>
      <c r="G94" s="22">
        <f t="shared" si="22"/>
        <v>0</v>
      </c>
      <c r="H94" s="13">
        <f t="shared" si="23"/>
        <v>0</v>
      </c>
      <c r="K94">
        <f t="shared" si="27"/>
        <v>92</v>
      </c>
      <c r="L94">
        <f>A94-Overall!$D$7</f>
        <v>147</v>
      </c>
      <c r="M94" s="80">
        <f>IF(Overall!$B$42&gt;0,Overall!$B$42,MIN(100,(MAX(20,120-B94)))/100)</f>
        <v>0.2</v>
      </c>
      <c r="N94" s="10">
        <f>((1+(Overall!$D$43*M94+Overall!$D$44*(1-M94))) / (1+Overall!$B$45-Overall!$D$45)) -1</f>
        <v>1.6585365853658551E-2</v>
      </c>
      <c r="O94" s="1">
        <f>POWER(1+Overall!$D$45,$K94+1)</f>
        <v>1</v>
      </c>
      <c r="P94" s="1">
        <f>1/POWER((1+Overall!$B$45-Overall!$D$45),$K94+1)</f>
        <v>0.10061912088835129</v>
      </c>
      <c r="Q94" s="104">
        <f>O94*SUMIFS(Expenses!$D$4:'Expenses'!$D$70,Expenses!$E$4:'Expenses'!$E$70,"&lt;="&amp;A94,Expenses!$F$4:'Expenses'!$F$70,"&gt;"&amp;A94,Expenses!$G$4:'Expenses'!$G$70,"=TRUE")*(1+Overall!$B$98)</f>
        <v>90750.000000000015</v>
      </c>
      <c r="R94" s="104">
        <f>P94*SUMIFS(Expenses!$D$4:'Expenses'!$D$70,Expenses!$E$4:'Expenses'!$E$70,"&lt;="&amp;A94,Expenses!$F$4:'Expenses'!$F$70,"&gt;"&amp;A94,Expenses!$G$4:'Expenses'!$G$70,"=FALSE")</f>
        <v>0</v>
      </c>
      <c r="S94" s="46">
        <f>O94*SUMIFS(Income!$D$2:'Income'!$D$47,Income!$E$2:'Income'!$E$47,"&lt;="&amp;A94,Income!$F$2:'Income'!$F$47,"&gt;"&amp;A94,Income!$G$2:'Income'!$G$47,"=TRUE")</f>
        <v>26880</v>
      </c>
      <c r="T94" s="46">
        <f>P94*SUMIFS(Income!$D$2:'Income'!$D$47,Income!$E$2:'Income'!$E$47,"&lt;="&amp;A94,Income!$F$2:'Income'!$F$47,"&gt;"&amp;A94,Income!$G$2:'Income'!$G$47,"=FALSE")</f>
        <v>0</v>
      </c>
      <c r="U94" s="46">
        <f t="shared" si="24"/>
        <v>90750.000000000015</v>
      </c>
      <c r="V94" s="22">
        <f>MIN( MAX( (Overall!$B$65*AVERAGE(B94,L94)*C94*(1+N94)), MAX(U94-D94,0)), C94*(1+N94)) * Overall!$B$66</f>
        <v>0</v>
      </c>
      <c r="W94" s="22">
        <f t="shared" si="25"/>
        <v>26880</v>
      </c>
      <c r="X94" s="78">
        <f>IF(W94&lt;=Overall!$D$59*O94,Overall!$B$58,IF(W94&lt;=Overall!$D$61*O94,Overall!$B$60,Overall!$B$62))</f>
        <v>0.12</v>
      </c>
      <c r="Y94" s="22">
        <f t="shared" si="26"/>
        <v>3225.6</v>
      </c>
      <c r="Z94" s="10">
        <f t="shared" si="28"/>
        <v>0</v>
      </c>
    </row>
    <row r="95" spans="1:26" x14ac:dyDescent="0.3">
      <c r="A95">
        <f>Overall!$B$1+K95</f>
        <v>2118</v>
      </c>
      <c r="B95">
        <f>A95-Overall!$B$7</f>
        <v>148</v>
      </c>
      <c r="C95" s="104">
        <f>IF(K95&lt;=0,Overall!$B$89,H94)</f>
        <v>0</v>
      </c>
      <c r="D95" s="22">
        <f t="shared" si="19"/>
        <v>26880</v>
      </c>
      <c r="E95" s="22">
        <f t="shared" si="20"/>
        <v>93975.60000000002</v>
      </c>
      <c r="F95" s="22">
        <f t="shared" si="21"/>
        <v>67095.60000000002</v>
      </c>
      <c r="G95" s="22">
        <f t="shared" si="22"/>
        <v>0</v>
      </c>
      <c r="H95" s="13">
        <f t="shared" si="23"/>
        <v>0</v>
      </c>
      <c r="K95">
        <f t="shared" si="27"/>
        <v>93</v>
      </c>
      <c r="L95">
        <f>A95-Overall!$D$7</f>
        <v>148</v>
      </c>
      <c r="M95" s="80">
        <f>IF(Overall!$B$42&gt;0,Overall!$B$42,MIN(100,(MAX(20,120-B95)))/100)</f>
        <v>0.2</v>
      </c>
      <c r="N95" s="10">
        <f>((1+(Overall!$D$43*M95+Overall!$D$44*(1-M95))) / (1+Overall!$B$45-Overall!$D$45)) -1</f>
        <v>1.6585365853658551E-2</v>
      </c>
      <c r="O95" s="1">
        <f>POWER(1+Overall!$D$45,$K95+1)</f>
        <v>1</v>
      </c>
      <c r="P95" s="1">
        <f>1/POWER((1+Overall!$B$45-Overall!$D$45),$K95+1)</f>
        <v>9.8164995988635415E-2</v>
      </c>
      <c r="Q95" s="104">
        <f>O95*SUMIFS(Expenses!$D$4:'Expenses'!$D$70,Expenses!$E$4:'Expenses'!$E$70,"&lt;="&amp;A95,Expenses!$F$4:'Expenses'!$F$70,"&gt;"&amp;A95,Expenses!$G$4:'Expenses'!$G$70,"=TRUE")*(1+Overall!$B$98)</f>
        <v>90750.000000000015</v>
      </c>
      <c r="R95" s="104">
        <f>P95*SUMIFS(Expenses!$D$4:'Expenses'!$D$70,Expenses!$E$4:'Expenses'!$E$70,"&lt;="&amp;A95,Expenses!$F$4:'Expenses'!$F$70,"&gt;"&amp;A95,Expenses!$G$4:'Expenses'!$G$70,"=FALSE")</f>
        <v>0</v>
      </c>
      <c r="S95" s="46">
        <f>O95*SUMIFS(Income!$D$2:'Income'!$D$47,Income!$E$2:'Income'!$E$47,"&lt;="&amp;A95,Income!$F$2:'Income'!$F$47,"&gt;"&amp;A95,Income!$G$2:'Income'!$G$47,"=TRUE")</f>
        <v>26880</v>
      </c>
      <c r="T95" s="46">
        <f>P95*SUMIFS(Income!$D$2:'Income'!$D$47,Income!$E$2:'Income'!$E$47,"&lt;="&amp;A95,Income!$F$2:'Income'!$F$47,"&gt;"&amp;A95,Income!$G$2:'Income'!$G$47,"=FALSE")</f>
        <v>0</v>
      </c>
      <c r="U95" s="46">
        <f t="shared" si="24"/>
        <v>90750.000000000015</v>
      </c>
      <c r="V95" s="22">
        <f>MIN( MAX( (Overall!$B$65*AVERAGE(B95,L95)*C95*(1+N95)), MAX(U95-D95,0)), C95*(1+N95)) * Overall!$B$66</f>
        <v>0</v>
      </c>
      <c r="W95" s="22">
        <f t="shared" si="25"/>
        <v>26880</v>
      </c>
      <c r="X95" s="78">
        <f>IF(W95&lt;=Overall!$D$59*O95,Overall!$B$58,IF(W95&lt;=Overall!$D$61*O95,Overall!$B$60,Overall!$B$62))</f>
        <v>0.12</v>
      </c>
      <c r="Y95" s="22">
        <f t="shared" si="26"/>
        <v>3225.6</v>
      </c>
      <c r="Z95" s="10">
        <f t="shared" si="28"/>
        <v>0</v>
      </c>
    </row>
    <row r="96" spans="1:26" x14ac:dyDescent="0.3">
      <c r="A96">
        <f>Overall!$B$1+K96</f>
        <v>2119</v>
      </c>
      <c r="B96">
        <f>A96-Overall!$B$7</f>
        <v>149</v>
      </c>
      <c r="C96" s="104">
        <f>IF(K96&lt;=0,Overall!$B$89,H95)</f>
        <v>0</v>
      </c>
      <c r="D96" s="22">
        <f t="shared" si="19"/>
        <v>26880</v>
      </c>
      <c r="E96" s="22">
        <f t="shared" si="20"/>
        <v>93975.60000000002</v>
      </c>
      <c r="F96" s="22">
        <f t="shared" si="21"/>
        <v>67095.60000000002</v>
      </c>
      <c r="G96" s="22">
        <f t="shared" si="22"/>
        <v>0</v>
      </c>
      <c r="H96" s="13">
        <f t="shared" si="23"/>
        <v>0</v>
      </c>
      <c r="K96">
        <f t="shared" si="27"/>
        <v>94</v>
      </c>
      <c r="L96">
        <f>A96-Overall!$D$7</f>
        <v>149</v>
      </c>
      <c r="M96" s="80">
        <f>IF(Overall!$B$42&gt;0,Overall!$B$42,MIN(100,(MAX(20,120-B96)))/100)</f>
        <v>0.2</v>
      </c>
      <c r="N96" s="10">
        <f>((1+(Overall!$D$43*M96+Overall!$D$44*(1-M96))) / (1+Overall!$B$45-Overall!$D$45)) -1</f>
        <v>1.6585365853658551E-2</v>
      </c>
      <c r="O96" s="1">
        <f>POWER(1+Overall!$D$45,$K96+1)</f>
        <v>1</v>
      </c>
      <c r="P96" s="1">
        <f>1/POWER((1+Overall!$B$45-Overall!$D$45),$K96+1)</f>
        <v>9.577072779379063E-2</v>
      </c>
      <c r="Q96" s="104">
        <f>O96*SUMIFS(Expenses!$D$4:'Expenses'!$D$70,Expenses!$E$4:'Expenses'!$E$70,"&lt;="&amp;A96,Expenses!$F$4:'Expenses'!$F$70,"&gt;"&amp;A96,Expenses!$G$4:'Expenses'!$G$70,"=TRUE")*(1+Overall!$B$98)</f>
        <v>90750.000000000015</v>
      </c>
      <c r="R96" s="104">
        <f>P96*SUMIFS(Expenses!$D$4:'Expenses'!$D$70,Expenses!$E$4:'Expenses'!$E$70,"&lt;="&amp;A96,Expenses!$F$4:'Expenses'!$F$70,"&gt;"&amp;A96,Expenses!$G$4:'Expenses'!$G$70,"=FALSE")</f>
        <v>0</v>
      </c>
      <c r="S96" s="46">
        <f>O96*SUMIFS(Income!$D$2:'Income'!$D$47,Income!$E$2:'Income'!$E$47,"&lt;="&amp;A96,Income!$F$2:'Income'!$F$47,"&gt;"&amp;A96,Income!$G$2:'Income'!$G$47,"=TRUE")</f>
        <v>26880</v>
      </c>
      <c r="T96" s="46">
        <f>P96*SUMIFS(Income!$D$2:'Income'!$D$47,Income!$E$2:'Income'!$E$47,"&lt;="&amp;A96,Income!$F$2:'Income'!$F$47,"&gt;"&amp;A96,Income!$G$2:'Income'!$G$47,"=FALSE")</f>
        <v>0</v>
      </c>
      <c r="U96" s="46">
        <f t="shared" si="24"/>
        <v>90750.000000000015</v>
      </c>
      <c r="V96" s="22">
        <f>MIN( MAX( (Overall!$B$65*AVERAGE(B96,L96)*C96*(1+N96)), MAX(U96-D96,0)), C96*(1+N96)) * Overall!$B$66</f>
        <v>0</v>
      </c>
      <c r="W96" s="22">
        <f t="shared" si="25"/>
        <v>26880</v>
      </c>
      <c r="X96" s="78">
        <f>IF(W96&lt;=Overall!$D$59*O96,Overall!$B$58,IF(W96&lt;=Overall!$D$61*O96,Overall!$B$60,Overall!$B$62))</f>
        <v>0.12</v>
      </c>
      <c r="Y96" s="22">
        <f t="shared" si="26"/>
        <v>3225.6</v>
      </c>
      <c r="Z96" s="10">
        <f t="shared" si="28"/>
        <v>0</v>
      </c>
    </row>
    <row r="97" spans="1:26" x14ac:dyDescent="0.3">
      <c r="A97">
        <f>Overall!$B$1+K97</f>
        <v>2120</v>
      </c>
      <c r="B97">
        <f>A97-Overall!$B$7</f>
        <v>150</v>
      </c>
      <c r="C97" s="104">
        <f>IF(K97&lt;=0,Overall!$B$89,H96)</f>
        <v>0</v>
      </c>
      <c r="D97" s="22">
        <f t="shared" si="19"/>
        <v>26880</v>
      </c>
      <c r="E97" s="22">
        <f t="shared" si="20"/>
        <v>93975.60000000002</v>
      </c>
      <c r="F97" s="22">
        <f t="shared" si="21"/>
        <v>67095.60000000002</v>
      </c>
      <c r="G97" s="22">
        <f t="shared" si="22"/>
        <v>0</v>
      </c>
      <c r="H97" s="13">
        <f t="shared" si="23"/>
        <v>0</v>
      </c>
      <c r="K97">
        <f t="shared" si="27"/>
        <v>95</v>
      </c>
      <c r="L97">
        <f>A97-Overall!$D$7</f>
        <v>150</v>
      </c>
      <c r="M97" s="80">
        <f>IF(Overall!$B$42&gt;0,Overall!$B$42,MIN(100,(MAX(20,120-B97)))/100)</f>
        <v>0.2</v>
      </c>
      <c r="N97" s="10">
        <f>((1+(Overall!$D$43*M97+Overall!$D$44*(1-M97))) / (1+Overall!$B$45-Overall!$D$45)) -1</f>
        <v>1.6585365853658551E-2</v>
      </c>
      <c r="O97" s="1">
        <f>POWER(1+Overall!$D$45,$K97+1)</f>
        <v>1</v>
      </c>
      <c r="P97" s="1">
        <f>1/POWER((1+Overall!$B$45-Overall!$D$45),$K97+1)</f>
        <v>9.3434856384185999E-2</v>
      </c>
      <c r="Q97" s="104">
        <f>O97*SUMIFS(Expenses!$D$4:'Expenses'!$D$70,Expenses!$E$4:'Expenses'!$E$70,"&lt;="&amp;A97,Expenses!$F$4:'Expenses'!$F$70,"&gt;"&amp;A97,Expenses!$G$4:'Expenses'!$G$70,"=TRUE")*(1+Overall!$B$98)</f>
        <v>90750.000000000015</v>
      </c>
      <c r="R97" s="104">
        <f>P97*SUMIFS(Expenses!$D$4:'Expenses'!$D$70,Expenses!$E$4:'Expenses'!$E$70,"&lt;="&amp;A97,Expenses!$F$4:'Expenses'!$F$70,"&gt;"&amp;A97,Expenses!$G$4:'Expenses'!$G$70,"=FALSE")</f>
        <v>0</v>
      </c>
      <c r="S97" s="46">
        <f>O97*SUMIFS(Income!$D$2:'Income'!$D$47,Income!$E$2:'Income'!$E$47,"&lt;="&amp;A97,Income!$F$2:'Income'!$F$47,"&gt;"&amp;A97,Income!$G$2:'Income'!$G$47,"=TRUE")</f>
        <v>26880</v>
      </c>
      <c r="T97" s="46">
        <f>P97*SUMIFS(Income!$D$2:'Income'!$D$47,Income!$E$2:'Income'!$E$47,"&lt;="&amp;A97,Income!$F$2:'Income'!$F$47,"&gt;"&amp;A97,Income!$G$2:'Income'!$G$47,"=FALSE")</f>
        <v>0</v>
      </c>
      <c r="U97" s="46">
        <f t="shared" si="24"/>
        <v>90750.000000000015</v>
      </c>
      <c r="V97" s="22">
        <f>MIN( MAX( (Overall!$B$65*AVERAGE(B97,L97)*C97*(1+N97)), MAX(U97-D97,0)), C97*(1+N97)) * Overall!$B$66</f>
        <v>0</v>
      </c>
      <c r="W97" s="22">
        <f t="shared" si="25"/>
        <v>26880</v>
      </c>
      <c r="X97" s="78">
        <f>IF(W97&lt;=Overall!$D$59*O97,Overall!$B$58,IF(W97&lt;=Overall!$D$61*O97,Overall!$B$60,Overall!$B$62))</f>
        <v>0.12</v>
      </c>
      <c r="Y97" s="22">
        <f t="shared" si="26"/>
        <v>3225.6</v>
      </c>
      <c r="Z97" s="10">
        <f t="shared" si="28"/>
        <v>0</v>
      </c>
    </row>
    <row r="98" spans="1:26" x14ac:dyDescent="0.3">
      <c r="A98">
        <f>Overall!$B$1+K98</f>
        <v>2121</v>
      </c>
      <c r="B98">
        <f>A98-Overall!$B$7</f>
        <v>151</v>
      </c>
      <c r="C98" s="104">
        <f>IF(K98&lt;=0,Overall!$B$89,H97)</f>
        <v>0</v>
      </c>
      <c r="D98" s="22">
        <f t="shared" si="19"/>
        <v>26880</v>
      </c>
      <c r="E98" s="22">
        <f t="shared" si="20"/>
        <v>93975.60000000002</v>
      </c>
      <c r="F98" s="22">
        <f t="shared" ref="F98:F100" si="29">IF(E98&lt;D98,0,E98-D98)</f>
        <v>67095.60000000002</v>
      </c>
      <c r="G98" s="22">
        <f t="shared" si="22"/>
        <v>0</v>
      </c>
      <c r="H98" s="13">
        <f t="shared" ref="H98:H100" si="30">MAX(0,C98*(1+N98)+G98-F98)</f>
        <v>0</v>
      </c>
      <c r="K98">
        <f t="shared" si="27"/>
        <v>96</v>
      </c>
      <c r="L98">
        <f>A98-Overall!$D$7</f>
        <v>151</v>
      </c>
      <c r="M98" s="80">
        <f>IF(Overall!$B$42&gt;0,Overall!$B$42,MIN(100,(MAX(20,120-B98)))/100)</f>
        <v>0.2</v>
      </c>
      <c r="N98" s="10">
        <f>((1+(Overall!$D$43*M98+Overall!$D$44*(1-M98))) / (1+Overall!$B$45-Overall!$D$45)) -1</f>
        <v>1.6585365853658551E-2</v>
      </c>
      <c r="O98" s="1">
        <f>POWER(1+Overall!$D$45,$K98+1)</f>
        <v>1</v>
      </c>
      <c r="P98" s="1">
        <f>1/POWER((1+Overall!$B$45-Overall!$D$45),$K98+1)</f>
        <v>9.1155957447986352E-2</v>
      </c>
      <c r="Q98" s="104">
        <f>O98*SUMIFS(Expenses!$D$4:'Expenses'!$D$70,Expenses!$E$4:'Expenses'!$E$70,"&lt;="&amp;A98,Expenses!$F$4:'Expenses'!$F$70,"&gt;"&amp;A98,Expenses!$G$4:'Expenses'!$G$70,"=TRUE")*(1+Overall!$B$98)</f>
        <v>90750.000000000015</v>
      </c>
      <c r="R98" s="104">
        <f>P98*SUMIFS(Expenses!$D$4:'Expenses'!$D$70,Expenses!$E$4:'Expenses'!$E$70,"&lt;="&amp;A98,Expenses!$F$4:'Expenses'!$F$70,"&gt;"&amp;A98,Expenses!$G$4:'Expenses'!$G$70,"=FALSE")</f>
        <v>0</v>
      </c>
      <c r="S98" s="46">
        <f>O98*SUMIFS(Income!$D$2:'Income'!$D$47,Income!$E$2:'Income'!$E$47,"&lt;="&amp;A98,Income!$F$2:'Income'!$F$47,"&gt;"&amp;A98,Income!$G$2:'Income'!$G$47,"=TRUE")</f>
        <v>26880</v>
      </c>
      <c r="T98" s="46">
        <f>P98*SUMIFS(Income!$D$2:'Income'!$D$47,Income!$E$2:'Income'!$E$47,"&lt;="&amp;A98,Income!$F$2:'Income'!$F$47,"&gt;"&amp;A98,Income!$G$2:'Income'!$G$47,"=FALSE")</f>
        <v>0</v>
      </c>
      <c r="U98" s="46">
        <f t="shared" si="24"/>
        <v>90750.000000000015</v>
      </c>
      <c r="V98" s="22">
        <f>MIN( MAX( (Overall!$B$65*AVERAGE(B98,L98)*C98*(1+N98)), MAX(U98-D98,0)), C98*(1+N98)) * Overall!$B$66</f>
        <v>0</v>
      </c>
      <c r="W98" s="22">
        <f t="shared" ref="W98:W100" si="31">D98+V98</f>
        <v>26880</v>
      </c>
      <c r="X98" s="78">
        <f>IF(W98&lt;=Overall!$D$59*O98,Overall!$B$58,IF(W98&lt;=Overall!$D$61*O98,Overall!$B$60,Overall!$B$62))</f>
        <v>0.12</v>
      </c>
      <c r="Y98" s="22">
        <f t="shared" ref="Y98:Y100" si="32">W98*X98</f>
        <v>3225.6</v>
      </c>
      <c r="Z98" s="10">
        <f t="shared" si="28"/>
        <v>0</v>
      </c>
    </row>
    <row r="99" spans="1:26" x14ac:dyDescent="0.3">
      <c r="A99">
        <f>Overall!$B$1+K99</f>
        <v>2122</v>
      </c>
      <c r="B99">
        <f>A99-Overall!$B$7</f>
        <v>152</v>
      </c>
      <c r="C99" s="104">
        <f>IF(K99&lt;=0,Overall!$B$89,H98)</f>
        <v>0</v>
      </c>
      <c r="D99" s="22">
        <f t="shared" si="19"/>
        <v>26880</v>
      </c>
      <c r="E99" s="22">
        <f t="shared" si="20"/>
        <v>93975.60000000002</v>
      </c>
      <c r="F99" s="22">
        <f t="shared" si="29"/>
        <v>67095.60000000002</v>
      </c>
      <c r="G99" s="22">
        <f t="shared" si="22"/>
        <v>0</v>
      </c>
      <c r="H99" s="13">
        <f t="shared" si="30"/>
        <v>0</v>
      </c>
      <c r="K99">
        <f t="shared" si="27"/>
        <v>97</v>
      </c>
      <c r="L99">
        <f>A99-Overall!$D$7</f>
        <v>152</v>
      </c>
      <c r="M99" s="80">
        <f>IF(Overall!$B$42&gt;0,Overall!$B$42,MIN(100,(MAX(20,120-B99)))/100)</f>
        <v>0.2</v>
      </c>
      <c r="N99" s="10">
        <f>((1+(Overall!$D$43*M99+Overall!$D$44*(1-M99))) / (1+Overall!$B$45-Overall!$D$45)) -1</f>
        <v>1.6585365853658551E-2</v>
      </c>
      <c r="O99" s="1">
        <f>POWER(1+Overall!$D$45,$K99+1)</f>
        <v>1</v>
      </c>
      <c r="P99" s="1">
        <f>1/POWER((1+Overall!$B$45-Overall!$D$45),$K99+1)</f>
        <v>8.8932641412669614E-2</v>
      </c>
      <c r="Q99" s="104">
        <f>O99*SUMIFS(Expenses!$D$4:'Expenses'!$D$70,Expenses!$E$4:'Expenses'!$E$70,"&lt;="&amp;A99,Expenses!$F$4:'Expenses'!$F$70,"&gt;"&amp;A99,Expenses!$G$4:'Expenses'!$G$70,"=TRUE")*(1+Overall!$B$98)</f>
        <v>90750.000000000015</v>
      </c>
      <c r="R99" s="104">
        <f>P99*SUMIFS(Expenses!$D$4:'Expenses'!$D$70,Expenses!$E$4:'Expenses'!$E$70,"&lt;="&amp;A99,Expenses!$F$4:'Expenses'!$F$70,"&gt;"&amp;A99,Expenses!$G$4:'Expenses'!$G$70,"=FALSE")</f>
        <v>0</v>
      </c>
      <c r="S99" s="46">
        <f>O99*SUMIFS(Income!$D$2:'Income'!$D$47,Income!$E$2:'Income'!$E$47,"&lt;="&amp;A99,Income!$F$2:'Income'!$F$47,"&gt;"&amp;A99,Income!$G$2:'Income'!$G$47,"=TRUE")</f>
        <v>26880</v>
      </c>
      <c r="T99" s="46">
        <f>P99*SUMIFS(Income!$D$2:'Income'!$D$47,Income!$E$2:'Income'!$E$47,"&lt;="&amp;A99,Income!$F$2:'Income'!$F$47,"&gt;"&amp;A99,Income!$G$2:'Income'!$G$47,"=FALSE")</f>
        <v>0</v>
      </c>
      <c r="U99" s="46">
        <f t="shared" si="24"/>
        <v>90750.000000000015</v>
      </c>
      <c r="V99" s="22">
        <f>MIN( MAX( (Overall!$B$65*AVERAGE(B99,L99)*C99*(1+N99)), MAX(U99-D99,0)), C99*(1+N99)) * Overall!$B$66</f>
        <v>0</v>
      </c>
      <c r="W99" s="22">
        <f t="shared" si="31"/>
        <v>26880</v>
      </c>
      <c r="X99" s="78">
        <f>IF(W99&lt;=Overall!$D$59*O99,Overall!$B$58,IF(W99&lt;=Overall!$D$61*O99,Overall!$B$60,Overall!$B$62))</f>
        <v>0.12</v>
      </c>
      <c r="Y99" s="22">
        <f t="shared" si="32"/>
        <v>3225.6</v>
      </c>
      <c r="Z99" s="10">
        <f t="shared" si="28"/>
        <v>0</v>
      </c>
    </row>
    <row r="100" spans="1:26" x14ac:dyDescent="0.3">
      <c r="A100">
        <f>Overall!$B$1+K100</f>
        <v>2123</v>
      </c>
      <c r="B100">
        <f>A100-Overall!$B$7</f>
        <v>153</v>
      </c>
      <c r="C100" s="104">
        <f>IF(K100&lt;=0,Overall!$B$89,H99)</f>
        <v>0</v>
      </c>
      <c r="D100" s="22">
        <f t="shared" si="19"/>
        <v>26880</v>
      </c>
      <c r="E100" s="22">
        <f t="shared" si="20"/>
        <v>93975.60000000002</v>
      </c>
      <c r="F100" s="22">
        <f t="shared" si="29"/>
        <v>67095.60000000002</v>
      </c>
      <c r="G100" s="22">
        <f t="shared" si="22"/>
        <v>0</v>
      </c>
      <c r="H100" s="13">
        <f t="shared" si="30"/>
        <v>0</v>
      </c>
      <c r="K100">
        <f t="shared" si="27"/>
        <v>98</v>
      </c>
      <c r="L100">
        <f>A100-Overall!$D$7</f>
        <v>153</v>
      </c>
      <c r="M100" s="80">
        <f>IF(Overall!$B$42&gt;0,Overall!$B$42,MIN(100,(MAX(20,120-B100)))/100)</f>
        <v>0.2</v>
      </c>
      <c r="N100" s="10">
        <f>((1+(Overall!$D$43*M100+Overall!$D$44*(1-M100))) / (1+Overall!$B$45-Overall!$D$45)) -1</f>
        <v>1.6585365853658551E-2</v>
      </c>
      <c r="O100" s="1">
        <f>POWER(1+Overall!$D$45,$K100+1)</f>
        <v>1</v>
      </c>
      <c r="P100" s="1">
        <f>1/POWER((1+Overall!$B$45-Overall!$D$45),$K100+1)</f>
        <v>8.6763552597726459E-2</v>
      </c>
      <c r="Q100" s="104">
        <f>O100*SUMIFS(Expenses!$D$4:'Expenses'!$D$70,Expenses!$E$4:'Expenses'!$E$70,"&lt;="&amp;A100,Expenses!$F$4:'Expenses'!$F$70,"&gt;"&amp;A100,Expenses!$G$4:'Expenses'!$G$70,"=TRUE")*(1+Overall!$B$98)</f>
        <v>90750.000000000015</v>
      </c>
      <c r="R100" s="104">
        <f>P100*SUMIFS(Expenses!$D$4:'Expenses'!$D$70,Expenses!$E$4:'Expenses'!$E$70,"&lt;="&amp;A100,Expenses!$F$4:'Expenses'!$F$70,"&gt;"&amp;A100,Expenses!$G$4:'Expenses'!$G$70,"=FALSE")</f>
        <v>0</v>
      </c>
      <c r="S100" s="46">
        <f>O100*SUMIFS(Income!$D$2:'Income'!$D$47,Income!$E$2:'Income'!$E$47,"&lt;="&amp;A100,Income!$F$2:'Income'!$F$47,"&gt;"&amp;A100,Income!$G$2:'Income'!$G$47,"=TRUE")</f>
        <v>26880</v>
      </c>
      <c r="T100" s="46">
        <f>P100*SUMIFS(Income!$D$2:'Income'!$D$47,Income!$E$2:'Income'!$E$47,"&lt;="&amp;A100,Income!$F$2:'Income'!$F$47,"&gt;"&amp;A100,Income!$G$2:'Income'!$G$47,"=FALSE")</f>
        <v>0</v>
      </c>
      <c r="U100" s="46">
        <f t="shared" si="24"/>
        <v>90750.000000000015</v>
      </c>
      <c r="V100" s="22">
        <f>MIN( MAX( (Overall!$B$65*AVERAGE(B100,L100)*C100*(1+N100)), MAX(U100-D100,0)), C100*(1+N100)) * Overall!$B$66</f>
        <v>0</v>
      </c>
      <c r="W100" s="22">
        <f t="shared" si="31"/>
        <v>26880</v>
      </c>
      <c r="X100" s="78">
        <f>IF(W100&lt;=Overall!$D$59*O100,Overall!$B$58,IF(W100&lt;=Overall!$D$61*O100,Overall!$B$60,Overall!$B$62))</f>
        <v>0.12</v>
      </c>
      <c r="Y100" s="22">
        <f t="shared" si="32"/>
        <v>3225.6</v>
      </c>
      <c r="Z100" s="10">
        <f t="shared" si="28"/>
        <v>0</v>
      </c>
    </row>
  </sheetData>
  <conditionalFormatting sqref="H2:H100 J2:Y100 A2:G1048576 K2:ZO1048576 H3:I1048576 J101:U1048576">
    <cfRule type="expression" dxfId="3" priority="536">
      <formula>$H2&lt;$F2</formula>
    </cfRule>
  </conditionalFormatting>
  <conditionalFormatting sqref="H2:H100 J2:Z100 A2:G1048576 K2:ZQ1048576 H3:I1048576 J101:U1048576">
    <cfRule type="expression" dxfId="2" priority="3">
      <formula>$A2&lt;YEAR(TODAY())</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95" id="{7306A64C-E021-44B7-9B7F-B9410669BF21}">
            <xm:f>$A2=Overall!$B$73</xm:f>
            <x14:dxf>
              <font>
                <b/>
                <i val="0"/>
                <strike val="0"/>
                <color rgb="FF0070C0"/>
              </font>
              <fill>
                <patternFill>
                  <bgColor theme="4" tint="0.79998168889431442"/>
                </patternFill>
              </fill>
            </x14:dxf>
          </x14:cfRule>
          <x14:cfRule type="expression" priority="396" id="{EE560734-C2E1-4A19-ADF3-8601EEF5DA3A}">
            <xm:f>$A2=Overall!$B$72</xm:f>
            <x14:dxf>
              <font>
                <b/>
                <i val="0"/>
                <strike val="0"/>
                <color rgb="FF7030A0"/>
              </font>
              <fill>
                <patternFill>
                  <bgColor theme="8" tint="0.79998168889431442"/>
                </patternFill>
              </fill>
            </x14:dxf>
          </x14:cfRule>
          <xm:sqref>H2:H100 J2:Z100 A2:G1048576 K2:ZQ1048576 H3:I1048576 J101:U1048576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EE1E5-8C7C-4C75-8B62-320208D9B99E}">
  <dimension ref="A1"/>
  <sheetViews>
    <sheetView workbookViewId="0">
      <selection activeCell="K32" sqref="K32"/>
    </sheetView>
  </sheetViews>
  <sheetFormatPr defaultRowHeight="14.4" x14ac:dyDescent="0.3"/>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46E82-9485-4C7E-B922-7022C97CFA00}">
  <sheetPr codeName="Sheet3"/>
  <dimension ref="A1:H15"/>
  <sheetViews>
    <sheetView workbookViewId="0">
      <selection activeCell="B3" sqref="B3"/>
    </sheetView>
  </sheetViews>
  <sheetFormatPr defaultRowHeight="14.4" x14ac:dyDescent="0.3"/>
  <cols>
    <col min="1" max="1" width="59.33203125" customWidth="1"/>
    <col min="2" max="2" width="14.6640625" style="3" customWidth="1"/>
    <col min="3" max="3" width="32.33203125" customWidth="1"/>
    <col min="4" max="4" width="18.5546875" style="33" customWidth="1"/>
    <col min="5" max="5" width="18.44140625" customWidth="1"/>
    <col min="6" max="6" width="22.6640625" customWidth="1"/>
    <col min="7" max="7" width="14.33203125" customWidth="1"/>
  </cols>
  <sheetData>
    <row r="1" spans="1:8" s="12" customFormat="1" x14ac:dyDescent="0.3">
      <c r="A1" s="12" t="s">
        <v>216</v>
      </c>
      <c r="B1" s="45" t="s">
        <v>7</v>
      </c>
      <c r="C1" s="12" t="s">
        <v>41</v>
      </c>
      <c r="D1" s="47" t="s">
        <v>14</v>
      </c>
      <c r="E1" s="12" t="s">
        <v>39</v>
      </c>
      <c r="F1" s="12" t="s">
        <v>40</v>
      </c>
      <c r="G1" s="12" t="s">
        <v>157</v>
      </c>
      <c r="H1" s="12" t="s">
        <v>49</v>
      </c>
    </row>
    <row r="2" spans="1:8" s="90" customFormat="1" ht="18" x14ac:dyDescent="0.35">
      <c r="A2" s="68" t="s">
        <v>215</v>
      </c>
      <c r="B2" s="89"/>
      <c r="D2" s="91"/>
    </row>
    <row r="3" spans="1:8" x14ac:dyDescent="0.3">
      <c r="A3" t="str">
        <f>_xlfn.CONCAT(Overall!$A$10, "-spouse")</f>
        <v>PreRetirementIncome-Annual-spouse</v>
      </c>
      <c r="B3" s="3">
        <f>Overall!B10 * (1-Overall!$B$67)</f>
        <v>161612.5</v>
      </c>
      <c r="C3" s="86" t="s">
        <v>14</v>
      </c>
      <c r="D3" s="33">
        <f>B3*INDEX(Overall!$B$104:$B$109, MATCH(C3, Overall!$A$104:$A$109, 0))</f>
        <v>161612.5</v>
      </c>
      <c r="E3">
        <v>0</v>
      </c>
      <c r="F3">
        <f>Overall!B72</f>
        <v>2035</v>
      </c>
      <c r="G3" s="106" t="b">
        <f>TRUE</f>
        <v>1</v>
      </c>
    </row>
    <row r="4" spans="1:8" x14ac:dyDescent="0.3">
      <c r="A4" t="str">
        <f>_xlfn.CONCAT(Overall!$A$10, "-self")</f>
        <v>PreRetirementIncome-Annual-self</v>
      </c>
      <c r="B4" s="3">
        <f>Overall!D10 * (1-Overall!$B$67)</f>
        <v>0</v>
      </c>
      <c r="C4" s="86" t="s">
        <v>14</v>
      </c>
      <c r="D4" s="33">
        <f>B4*INDEX(Overall!$B$104:$B$109, MATCH(C4, Overall!$A$104:$A$109, 0))</f>
        <v>0</v>
      </c>
      <c r="E4">
        <v>0</v>
      </c>
      <c r="F4">
        <f>Overall!B73</f>
        <v>2035</v>
      </c>
      <c r="G4" s="106" t="b">
        <f>TRUE</f>
        <v>1</v>
      </c>
    </row>
    <row r="5" spans="1:8" x14ac:dyDescent="0.3">
      <c r="A5" t="str">
        <f>Overall!A13</f>
        <v>Annual Gross Income from Rental Property</v>
      </c>
      <c r="B5" s="3">
        <f>Overall!B13</f>
        <v>0</v>
      </c>
      <c r="C5" s="86" t="s">
        <v>14</v>
      </c>
      <c r="D5" s="33">
        <f>B5*INDEX(Overall!$B$104:$B$109, MATCH(C5, Overall!$A$104:$A$109, 0))</f>
        <v>0</v>
      </c>
      <c r="E5">
        <v>0</v>
      </c>
      <c r="F5">
        <v>9999</v>
      </c>
      <c r="G5" s="106" t="b">
        <f>TRUE</f>
        <v>1</v>
      </c>
    </row>
    <row r="6" spans="1:8" x14ac:dyDescent="0.3">
      <c r="A6" t="str">
        <f>Overall!A14</f>
        <v>Annual Gross Income from other Investment Property</v>
      </c>
      <c r="B6" s="3">
        <f>Overall!B14* (1-Overall!$B$67)</f>
        <v>0</v>
      </c>
      <c r="C6" s="86" t="s">
        <v>14</v>
      </c>
      <c r="D6" s="33">
        <f>B6*INDEX(Overall!$B$104:$B$109, MATCH(C6, Overall!$A$104:$A$109, 0))</f>
        <v>0</v>
      </c>
      <c r="E6">
        <v>0</v>
      </c>
      <c r="F6">
        <v>9999</v>
      </c>
      <c r="G6" s="106" t="b">
        <f>TRUE</f>
        <v>1</v>
      </c>
    </row>
    <row r="7" spans="1:8" x14ac:dyDescent="0.3">
      <c r="A7" t="str">
        <f>_xlfn.CONCAT(Overall!$A$29," - self")</f>
        <v>PostRetirementJobIncome-Annual - self</v>
      </c>
      <c r="B7" s="3">
        <f>Overall!B29* (1-Overall!$B$67)</f>
        <v>0</v>
      </c>
      <c r="C7" s="86" t="s">
        <v>14</v>
      </c>
      <c r="D7" s="33">
        <f>B7*INDEX(Overall!$B$104:$B$109, MATCH(C7, Overall!$A$104:$A$109, 0))</f>
        <v>0</v>
      </c>
      <c r="E7" s="110">
        <f>Overall!B80</f>
        <v>2038</v>
      </c>
      <c r="F7">
        <f>Overall!B82</f>
        <v>2043</v>
      </c>
      <c r="G7" s="106" t="b">
        <f>TRUE</f>
        <v>1</v>
      </c>
    </row>
    <row r="8" spans="1:8" x14ac:dyDescent="0.3">
      <c r="A8" t="str">
        <f>_xlfn.CONCAT(Overall!$A$29," - spouse")</f>
        <v>PostRetirementJobIncome-Annual - spouse</v>
      </c>
      <c r="B8" s="3">
        <f>Overall!D29</f>
        <v>0</v>
      </c>
      <c r="C8" s="86" t="s">
        <v>14</v>
      </c>
      <c r="D8" s="33">
        <f>B8*INDEX(Overall!$B$104:$B$109, MATCH(C8, Overall!$A$104:$A$109, 0))</f>
        <v>0</v>
      </c>
      <c r="E8" s="110">
        <f>Overall!B81</f>
        <v>2035</v>
      </c>
      <c r="F8">
        <f>Overall!B83</f>
        <v>2035</v>
      </c>
      <c r="G8" s="106" t="b">
        <f>TRUE</f>
        <v>1</v>
      </c>
    </row>
    <row r="9" spans="1:8" x14ac:dyDescent="0.3">
      <c r="A9" t="str">
        <f>_xlfn.CONCAT(Overall!$A$31, " - self")</f>
        <v>Pension - Annual - self</v>
      </c>
      <c r="B9" s="3">
        <f>Overall!B31</f>
        <v>0</v>
      </c>
      <c r="C9" s="86" t="s">
        <v>14</v>
      </c>
      <c r="D9" s="33">
        <f>B9*INDEX(Overall!$B$104:$B$109, MATCH(C9, Overall!$A$104:$A$109, 0))</f>
        <v>0</v>
      </c>
      <c r="E9">
        <f>Overall!B84</f>
        <v>2035</v>
      </c>
      <c r="F9">
        <v>9999</v>
      </c>
      <c r="G9" s="106" t="b">
        <f>FALSE</f>
        <v>0</v>
      </c>
    </row>
    <row r="10" spans="1:8" x14ac:dyDescent="0.3">
      <c r="A10" t="str">
        <f>_xlfn.CONCAT(Overall!$A$31, " - spouse")</f>
        <v>Pension - Annual - spouse</v>
      </c>
      <c r="B10" s="3">
        <f>Overall!D31</f>
        <v>0</v>
      </c>
      <c r="C10" s="86" t="s">
        <v>14</v>
      </c>
      <c r="D10" s="33">
        <f>B10*INDEX(Overall!$B$104:$B$109, MATCH(C10, Overall!$A$104:$A$109, 0))</f>
        <v>0</v>
      </c>
      <c r="E10">
        <f>Overall!B85</f>
        <v>2035</v>
      </c>
      <c r="F10">
        <v>9999</v>
      </c>
      <c r="G10" s="106" t="b">
        <f>FALSE</f>
        <v>0</v>
      </c>
    </row>
    <row r="11" spans="1:8" x14ac:dyDescent="0.3">
      <c r="A11" t="str">
        <f>Overall!A78</f>
        <v>SS-Annual-check-self</v>
      </c>
      <c r="B11" s="3">
        <f>Overall!B78</f>
        <v>26880</v>
      </c>
      <c r="C11" s="86" t="s">
        <v>14</v>
      </c>
      <c r="D11" s="33">
        <f>B11*INDEX(Overall!$B$104:$B$109, MATCH(C11, Overall!$A$104:$A$109, 0))</f>
        <v>26880</v>
      </c>
      <c r="E11">
        <f>Overall!B76</f>
        <v>2035</v>
      </c>
      <c r="F11">
        <v>9999</v>
      </c>
      <c r="G11" s="106" t="b">
        <f>TRUE</f>
        <v>1</v>
      </c>
    </row>
    <row r="12" spans="1:8" x14ac:dyDescent="0.3">
      <c r="A12" t="str">
        <f>Overall!A79</f>
        <v>SS-Annual-Check-spouse</v>
      </c>
      <c r="B12" s="3">
        <f>Overall!B79</f>
        <v>0</v>
      </c>
      <c r="C12" s="86" t="s">
        <v>14</v>
      </c>
      <c r="D12" s="33">
        <f>B12*INDEX(Overall!$B$104:$B$109, MATCH(C12, Overall!$A$104:$A$109, 0))</f>
        <v>0</v>
      </c>
      <c r="E12">
        <f>Overall!B77</f>
        <v>2035</v>
      </c>
      <c r="F12">
        <v>9999</v>
      </c>
      <c r="G12" s="106" t="b">
        <f>TRUE</f>
        <v>1</v>
      </c>
    </row>
    <row r="13" spans="1:8" x14ac:dyDescent="0.3">
      <c r="A13" t="str">
        <f>Overall!A16</f>
        <v>Additional Temporary Annual Income 1</v>
      </c>
      <c r="B13" s="3">
        <f>Overall!B16</f>
        <v>0</v>
      </c>
      <c r="C13" s="86" t="s">
        <v>14</v>
      </c>
      <c r="D13" s="33">
        <f>B13*INDEX(Overall!$B$104:$B$109, MATCH(C13, Overall!$A$104:$A$109, 0))</f>
        <v>0</v>
      </c>
      <c r="E13">
        <v>0</v>
      </c>
      <c r="F13">
        <f>Overall!B17</f>
        <v>2025</v>
      </c>
      <c r="G13" s="106" t="b">
        <f>FALSE</f>
        <v>0</v>
      </c>
    </row>
    <row r="14" spans="1:8" x14ac:dyDescent="0.3">
      <c r="A14" t="str">
        <f>Overall!A18</f>
        <v>Additional Temporary Annual Income 2</v>
      </c>
      <c r="B14" s="3">
        <f>Overall!B18</f>
        <v>0</v>
      </c>
      <c r="C14" s="86" t="s">
        <v>14</v>
      </c>
      <c r="D14" s="33">
        <f>B14*INDEX(Overall!$B$104:$B$109, MATCH(C14, Overall!$A$104:$A$109, 0))</f>
        <v>0</v>
      </c>
      <c r="E14">
        <v>0</v>
      </c>
      <c r="F14">
        <f>Overall!B19</f>
        <v>2025</v>
      </c>
      <c r="G14" s="106" t="b">
        <f>FALSE</f>
        <v>0</v>
      </c>
    </row>
    <row r="15" spans="1:8" x14ac:dyDescent="0.3">
      <c r="A15" t="str">
        <f>Overall!A20</f>
        <v>Additional Temporary Annual Income 3</v>
      </c>
      <c r="B15" s="3">
        <f>Overall!B20</f>
        <v>0</v>
      </c>
      <c r="C15" s="86" t="s">
        <v>14</v>
      </c>
      <c r="D15" s="33">
        <f>B15*INDEX(Overall!$B$104:$B$109, MATCH(C15, Overall!$A$104:$A$109, 0))</f>
        <v>0</v>
      </c>
      <c r="E15">
        <v>0</v>
      </c>
      <c r="F15">
        <f>Overall!B21</f>
        <v>2025</v>
      </c>
      <c r="G15" s="106" t="b">
        <f>FALSE</f>
        <v>0</v>
      </c>
    </row>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25D7FE9-353A-440E-96AB-267EC541A023}">
          <x14:formula1>
            <xm:f>Overall!$A$104:$A$109</xm:f>
          </x14:formula1>
          <xm:sqref>C3:C15</xm:sqref>
        </x14:dataValidation>
      </x14:dataValidations>
    </ext>
  </extLst>
</worksheet>
</file>

<file path=docMetadata/LabelInfo.xml><?xml version="1.0" encoding="utf-8"?>
<clbl:labelList xmlns:clbl="http://schemas.microsoft.com/office/2020/mipLabelMetadata">
  <clbl:label id="{c179f820-d535-4b2f-b252-8a9c4ac14ec6}" enabled="0" method="Standard" siteId="{72f988bf-86f1-41af-91ab-2d7cd011db4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README</vt:lpstr>
      <vt:lpstr>Overall</vt:lpstr>
      <vt:lpstr>Investments</vt:lpstr>
      <vt:lpstr>Expenses</vt:lpstr>
      <vt:lpstr>SpendingRoadMap</vt:lpstr>
      <vt:lpstr>Charts</vt:lpstr>
      <vt:lpstr>Income</vt:lpstr>
      <vt:lpstr>Investments!_FilterDatabase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Sanjib Saha</dc:creator>
  <cp:lastModifiedBy>Sanjib Saha</cp:lastModifiedBy>
  <dcterms:created xsi:type="dcterms:W3CDTF">2025-10-19T16:08:07Z</dcterms:created>
  <dcterms:modified xsi:type="dcterms:W3CDTF">2025-10-21T17:21:34Z</dcterms:modified>
</cp:coreProperties>
</file>